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Erhvervsøkonomi\LandbrugsInfo\01-LandbrugsInfo\23-Promille\2018\"/>
    </mc:Choice>
  </mc:AlternateContent>
  <bookViews>
    <workbookView xWindow="360" yWindow="420" windowWidth="24675" windowHeight="11220"/>
  </bookViews>
  <sheets>
    <sheet name="Arbejdstids grise" sheetId="1" r:id="rId1"/>
    <sheet name="Grafer" sheetId="3" r:id="rId2"/>
  </sheets>
  <definedNames>
    <definedName name="Arbejdsløn">'Arbejdstids grise'!$C$64</definedName>
    <definedName name="Arbejdstidstabel_slagtesvin">'Arbejdstids grise'!$B$258:$G$366</definedName>
    <definedName name="Arbejdstidstabel_smågrise">'Arbejdstids grise'!$B$181:$G$255</definedName>
    <definedName name="Arbejdstidstabel_søer">'Arbejdstids grise'!$B$101:$G$144</definedName>
    <definedName name="Dagsværk_1_person">'Arbejdstids grise'!$C$314</definedName>
    <definedName name="Foderdage_slagtesvin">'Arbejdstids grise'!$C$278</definedName>
    <definedName name="Foderdager_smågrise">'Arbejdstids grise'!$C$198</definedName>
    <definedName name="Navigation">'Arbejdstids grise'!$B$2:$G$6</definedName>
    <definedName name="Oplysninger_produktion_slagtesvin">'Arbejdstids grise'!$B$218:$G$366</definedName>
    <definedName name="Oplysninger_produktion_smågrise">'Arbejdstids grise'!$B$147:$G$255</definedName>
    <definedName name="Oplysninger_produktion_søer">'Arbejdstids grise'!$B$64:$G$120</definedName>
    <definedName name="Standardværdier">'Arbejdstids grise'!$B$311:$G$465</definedName>
    <definedName name="Vaske_tid_pr._kvm_stiareal">'Arbejdstids grise'!$C$316</definedName>
    <definedName name="Vaske_tid_udleveringsrum_etc">'Arbejdstids grise'!$C$317</definedName>
    <definedName name="Årlig_produktions_oplysninger">'Arbejdstids grise'!$B$15:$G$48</definedName>
    <definedName name="Årsværk">'Arbejdstids grise'!$C$315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9" i="1" l="1"/>
  <c r="C20" i="1" s="1"/>
  <c r="E278" i="1" l="1"/>
  <c r="D262" i="1"/>
  <c r="B402" i="1" l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44" i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C233" i="1"/>
  <c r="B420" i="1" l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C276" i="1"/>
  <c r="F274" i="1"/>
  <c r="F268" i="1"/>
  <c r="E277" i="1"/>
  <c r="F199" i="1"/>
  <c r="E191" i="1"/>
  <c r="E196" i="1" l="1"/>
  <c r="C150" i="1"/>
  <c r="C149" i="1"/>
  <c r="E199" i="1" l="1"/>
  <c r="F188" i="1"/>
  <c r="C157" i="1"/>
  <c r="G108" i="1" l="1"/>
  <c r="E198" i="1"/>
  <c r="D184" i="1"/>
  <c r="C220" i="1"/>
  <c r="C222" i="1"/>
  <c r="C223" i="1" s="1"/>
  <c r="C221" i="1"/>
  <c r="G107" i="1"/>
  <c r="C198" i="1"/>
  <c r="C148" i="1"/>
  <c r="F187" i="1" s="1"/>
  <c r="F131" i="1"/>
  <c r="D141" i="1"/>
  <c r="D142" i="1"/>
  <c r="G105" i="1"/>
  <c r="C84" i="1"/>
  <c r="G110" i="1" s="1"/>
  <c r="D119" i="1"/>
  <c r="C68" i="1"/>
  <c r="C70" i="1" s="1"/>
  <c r="C158" i="1" s="1"/>
  <c r="C65" i="1"/>
  <c r="F111" i="1" s="1"/>
  <c r="G3" i="1"/>
  <c r="G111" i="1" l="1"/>
  <c r="G104" i="1"/>
  <c r="E279" i="1"/>
  <c r="C239" i="1"/>
  <c r="F265" i="1"/>
  <c r="F264" i="1"/>
  <c r="F262" i="1"/>
  <c r="C166" i="1"/>
  <c r="C162" i="1" s="1"/>
  <c r="C159" i="1"/>
  <c r="C231" i="1"/>
  <c r="F109" i="1"/>
  <c r="G109" i="1" s="1"/>
  <c r="C165" i="1"/>
  <c r="C240" i="1"/>
  <c r="F184" i="1"/>
  <c r="G112" i="1"/>
  <c r="F186" i="1"/>
  <c r="C164" i="1"/>
  <c r="E197" i="1"/>
  <c r="F197" i="1" l="1"/>
  <c r="F198" i="1"/>
  <c r="F195" i="1"/>
  <c r="F277" i="1"/>
  <c r="F273" i="1"/>
  <c r="C266" i="1"/>
  <c r="C267" i="1" s="1"/>
  <c r="F267" i="1" s="1"/>
  <c r="F276" i="1"/>
  <c r="F275" i="1"/>
  <c r="F194" i="1"/>
  <c r="F192" i="1"/>
  <c r="F191" i="1"/>
  <c r="F193" i="1"/>
  <c r="F196" i="1"/>
  <c r="F189" i="1"/>
  <c r="C315" i="1"/>
  <c r="F200" i="1" l="1"/>
  <c r="B357" i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D121" i="1"/>
  <c r="D120" i="1"/>
  <c r="C88" i="1"/>
  <c r="C77" i="1"/>
  <c r="C78" i="1" s="1"/>
  <c r="D116" i="1"/>
  <c r="D118" i="1"/>
  <c r="E272" i="1"/>
  <c r="F272" i="1" s="1"/>
  <c r="C229" i="1"/>
  <c r="C238" i="1" s="1"/>
  <c r="C236" i="1" s="1"/>
  <c r="C237" i="1" l="1"/>
  <c r="E266" i="1" s="1"/>
  <c r="F266" i="1" s="1"/>
  <c r="F269" i="1" s="1"/>
  <c r="C80" i="1"/>
  <c r="C278" i="1"/>
  <c r="F279" i="1" s="1"/>
  <c r="F278" i="1" l="1"/>
  <c r="F280" i="1" s="1"/>
  <c r="F282" i="1" s="1"/>
  <c r="F22" i="1" s="1"/>
  <c r="B442" i="1" s="1"/>
  <c r="D129" i="1"/>
  <c r="C89" i="1"/>
  <c r="D132" i="1" l="1"/>
  <c r="C90" i="1"/>
  <c r="D130" i="1"/>
  <c r="D117" i="1"/>
  <c r="D106" i="1" l="1"/>
  <c r="G106" i="1" s="1"/>
  <c r="C91" i="1"/>
  <c r="C92" i="1"/>
  <c r="G128" i="1" s="1"/>
  <c r="C94" i="1"/>
  <c r="C95" i="1" s="1"/>
  <c r="C96" i="1" s="1"/>
  <c r="D131" i="1"/>
  <c r="G130" i="1" l="1"/>
  <c r="G113" i="1"/>
  <c r="G138" i="1"/>
  <c r="G131" i="1"/>
  <c r="G132" i="1"/>
  <c r="G141" i="1"/>
  <c r="G127" i="1"/>
  <c r="G124" i="1"/>
  <c r="G123" i="1"/>
  <c r="G122" i="1"/>
  <c r="G119" i="1"/>
  <c r="G118" i="1"/>
  <c r="G120" i="1"/>
  <c r="G135" i="1"/>
  <c r="G121" i="1"/>
  <c r="G116" i="1"/>
  <c r="G136" i="1"/>
  <c r="G129" i="1"/>
  <c r="G142" i="1"/>
  <c r="G117" i="1"/>
  <c r="G137" i="1"/>
  <c r="G133" i="1" l="1"/>
  <c r="G143" i="1"/>
  <c r="G139" i="1"/>
  <c r="G125" i="1"/>
  <c r="G144" i="1" l="1"/>
  <c r="F18" i="1" s="1"/>
  <c r="F201" i="1"/>
  <c r="F20" i="1" s="1"/>
  <c r="B400" i="1" s="1"/>
  <c r="F24" i="1" l="1"/>
  <c r="F25" i="1" s="1"/>
  <c r="G18" i="1"/>
  <c r="B355" i="1" s="1"/>
  <c r="C98" i="1"/>
  <c r="C99" i="1" s="1"/>
</calcChain>
</file>

<file path=xl/comments1.xml><?xml version="1.0" encoding="utf-8"?>
<comments xmlns="http://schemas.openxmlformats.org/spreadsheetml/2006/main">
  <authors>
    <author>Michael Groes Christiansen</author>
  </authors>
  <commentList>
    <comment ref="G111" authorId="0" shapeId="0">
      <text>
        <r>
          <rPr>
            <b/>
            <sz val="9"/>
            <color indexed="81"/>
            <rFont val="Tahoma"/>
            <family val="2"/>
          </rPr>
          <t>Michael Groes Christiansen:</t>
        </r>
        <r>
          <rPr>
            <sz val="9"/>
            <color indexed="81"/>
            <rFont val="Tahoma"/>
            <family val="2"/>
          </rPr>
          <t xml:space="preserve">
ca. 20 minutter per årsso er medianen fra erfaring 1708, 2016</t>
        </r>
      </text>
    </comment>
    <comment ref="D128" authorId="0" shapeId="0">
      <text>
        <r>
          <rPr>
            <b/>
            <sz val="9"/>
            <color indexed="81"/>
            <rFont val="Tahoma"/>
            <family val="2"/>
          </rPr>
          <t>Michael Groes Christiansen:</t>
        </r>
        <r>
          <rPr>
            <sz val="9"/>
            <color indexed="81"/>
            <rFont val="Tahoma"/>
            <family val="2"/>
          </rPr>
          <t xml:space="preserve">
Ikke alle gyllesystemer kan håndterer halm endnu.
</t>
        </r>
      </text>
    </comment>
    <comment ref="D138" authorId="0" shapeId="0">
      <text>
        <r>
          <rPr>
            <b/>
            <sz val="9"/>
            <color indexed="81"/>
            <rFont val="Tahoma"/>
            <family val="2"/>
          </rPr>
          <t>Michael Groes Christiansen:</t>
        </r>
        <r>
          <rPr>
            <sz val="9"/>
            <color indexed="81"/>
            <rFont val="Tahoma"/>
            <family val="2"/>
          </rPr>
          <t xml:space="preserve">
50% hangrise, som skal kastres.
Med hangriseproduktion 0</t>
        </r>
      </text>
    </comment>
    <comment ref="E199" authorId="0" shapeId="0">
      <text>
        <r>
          <rPr>
            <sz val="9"/>
            <color indexed="81"/>
            <rFont val="Tahoma"/>
            <family val="2"/>
          </rPr>
          <t>Reel tid er højere, men spare noget tilsyn, derfor sat kunstigt lavt</t>
        </r>
      </text>
    </comment>
    <comment ref="C267" authorId="0" shapeId="0">
      <text>
        <r>
          <rPr>
            <b/>
            <sz val="9"/>
            <color indexed="81"/>
            <rFont val="Tahoma"/>
            <family val="2"/>
          </rPr>
          <t>Michael Groes Christiansen:</t>
        </r>
        <r>
          <rPr>
            <sz val="9"/>
            <color indexed="81"/>
            <rFont val="Tahoma"/>
            <family val="2"/>
          </rPr>
          <t xml:space="preserve">
Der kan ved ugedrift godt leveres fra flere hold samtidigt</t>
        </r>
      </text>
    </comment>
    <comment ref="C276" authorId="0" shapeId="0">
      <text>
        <r>
          <rPr>
            <sz val="9"/>
            <color indexed="81"/>
            <rFont val="Tahoma"/>
            <family val="2"/>
          </rPr>
          <t xml:space="preserve">Sidste 
</t>
        </r>
      </text>
    </comment>
    <comment ref="E279" authorId="0" shapeId="0">
      <text>
        <r>
          <rPr>
            <b/>
            <sz val="9"/>
            <color indexed="81"/>
            <rFont val="Tahoma"/>
            <family val="2"/>
          </rPr>
          <t>Michael Groes Christiansen:</t>
        </r>
        <r>
          <rPr>
            <sz val="9"/>
            <color indexed="81"/>
            <rFont val="Tahoma"/>
            <family val="2"/>
          </rPr>
          <t xml:space="preserve">
Reel tid er højere, men spare noget tilsyn, derfor sat kunstigt lavt</t>
        </r>
      </text>
    </comment>
  </commentList>
</comments>
</file>

<file path=xl/sharedStrings.xml><?xml version="1.0" encoding="utf-8"?>
<sst xmlns="http://schemas.openxmlformats.org/spreadsheetml/2006/main" count="283" uniqueCount="210">
  <si>
    <t xml:space="preserve"> </t>
  </si>
  <si>
    <t>Kuld pr. årsso</t>
  </si>
  <si>
    <t>Opstart (min)</t>
  </si>
  <si>
    <t>Pr. dyr, (min)</t>
  </si>
  <si>
    <t>Flytte søer til løbeafdeling</t>
  </si>
  <si>
    <t xml:space="preserve">Vaccinere polte/søer efter frav. </t>
  </si>
  <si>
    <t>Flytning til drægtighedsstald</t>
  </si>
  <si>
    <t>Drægtighedskontrol</t>
  </si>
  <si>
    <t>I alt minutter pr. årsso</t>
  </si>
  <si>
    <t>Vaccination drægtige søer</t>
  </si>
  <si>
    <t>Behandling, skab og orm</t>
  </si>
  <si>
    <t>Flytning til farestald</t>
  </si>
  <si>
    <t>Dagligt (fodring, gødning og halm, tilsyn)</t>
  </si>
  <si>
    <t>Polteberegninger</t>
  </si>
  <si>
    <t>Vask af sti</t>
  </si>
  <si>
    <t>min/kvm</t>
  </si>
  <si>
    <t>Udvægt</t>
  </si>
  <si>
    <t>Dgl. tilvækst</t>
  </si>
  <si>
    <t>Stipladser</t>
  </si>
  <si>
    <t>Dagligt service tjek af servicefaciliter, min</t>
  </si>
  <si>
    <t>Dødelighed</t>
  </si>
  <si>
    <t>Indsætte smågrise</t>
  </si>
  <si>
    <t>Vaske tid pr. kvm stiareal</t>
  </si>
  <si>
    <t>Dagsværk 1 person</t>
  </si>
  <si>
    <t>Time/dag</t>
  </si>
  <si>
    <t>Årsværk</t>
  </si>
  <si>
    <t>Timer/år</t>
  </si>
  <si>
    <t>Fravænning med flytning</t>
  </si>
  <si>
    <t>Opstart/konstant(min)</t>
  </si>
  <si>
    <t>Antal gange pr. socyklus</t>
  </si>
  <si>
    <t>Ammesøer per hold</t>
  </si>
  <si>
    <t>Levendefødte</t>
  </si>
  <si>
    <t xml:space="preserve">Dødelighed </t>
  </si>
  <si>
    <t>Døde inden kuldudjævning</t>
  </si>
  <si>
    <t>Grise ved kuldudjævning</t>
  </si>
  <si>
    <t>Laktationsperiode søer</t>
  </si>
  <si>
    <t>Fravænnede per farekuld</t>
  </si>
  <si>
    <t>Andel af pattegrise der dør inden kuldudjævning</t>
  </si>
  <si>
    <t>Faringsprocent</t>
  </si>
  <si>
    <t>Spildfoderdage per kuld</t>
  </si>
  <si>
    <t>1 lægsprocent</t>
  </si>
  <si>
    <t>Årligt polte behov pr. årsso (løbeklare)</t>
  </si>
  <si>
    <t>Søer i farestald</t>
  </si>
  <si>
    <t>Søer ved fravænning</t>
  </si>
  <si>
    <t>Fravænnede grise per årsso</t>
  </si>
  <si>
    <t>Flytning til rampe</t>
  </si>
  <si>
    <t>Min/gris</t>
  </si>
  <si>
    <t>Søer ved 30 kg</t>
  </si>
  <si>
    <t>Pattegrise per so ved kuldudjævning</t>
  </si>
  <si>
    <t>Pr. so  Min./cyklus</t>
  </si>
  <si>
    <t>Årssøer Inkl. polte. Timer/årsso</t>
  </si>
  <si>
    <t>Ufordelt tid</t>
  </si>
  <si>
    <t>Konstant minutter</t>
  </si>
  <si>
    <t>Dagligt tilsyn</t>
  </si>
  <si>
    <t>Søer til og med fravænning</t>
  </si>
  <si>
    <t>Antal årssøer</t>
  </si>
  <si>
    <t>Årlig produktions oplysninger</t>
  </si>
  <si>
    <t>Producerede slagtesvin</t>
  </si>
  <si>
    <t>Dagligt time forbrug</t>
  </si>
  <si>
    <t>Standardværdier</t>
  </si>
  <si>
    <t>Oplysninger produktion søer</t>
  </si>
  <si>
    <t>Arbejdstidstabel søer</t>
  </si>
  <si>
    <t>Arbejdstidstabel smågrise</t>
  </si>
  <si>
    <t>Dato for version</t>
  </si>
  <si>
    <t>Årlig produktions oplysninger bedrift</t>
  </si>
  <si>
    <t>Vejledning</t>
  </si>
  <si>
    <t>Fra kg</t>
  </si>
  <si>
    <t>Til kg levendevægt</t>
  </si>
  <si>
    <t>Til kg slagtevægt</t>
  </si>
  <si>
    <t>Dags dato</t>
  </si>
  <si>
    <t>Oplysninger produktion smågrise</t>
  </si>
  <si>
    <t>Standardværdier tid</t>
  </si>
  <si>
    <t>Navigationbar</t>
  </si>
  <si>
    <t>SEGES, arbejdstid grise</t>
  </si>
  <si>
    <t>mgc@seges.dk</t>
  </si>
  <si>
    <t>Kontakt</t>
  </si>
  <si>
    <t>Norm fravænningsalder i uger</t>
  </si>
  <si>
    <t>Dage fra fravænning til næste faring idealso</t>
  </si>
  <si>
    <t>Fravænningsalder i dage for normgrisen</t>
  </si>
  <si>
    <t>Antal sohold per idealsocyklus (ugedrift default)</t>
  </si>
  <si>
    <t>Interval mellem fravænning i uger</t>
  </si>
  <si>
    <t>Polteudnyttelses procent</t>
  </si>
  <si>
    <t>Årssøer (overført)</t>
  </si>
  <si>
    <t>Timer per årsso</t>
  </si>
  <si>
    <t>Minutter per smågris</t>
  </si>
  <si>
    <t>Minutter per slagtesvin</t>
  </si>
  <si>
    <t>Brug navigationsbar hyperlinks</t>
  </si>
  <si>
    <t>Polte beregninger</t>
  </si>
  <si>
    <t>Polte behov årligt</t>
  </si>
  <si>
    <t>Registreringstid pr. årsso</t>
  </si>
  <si>
    <t>"+/- ansatte ind" ved deltid eller længere arbejdstid</t>
  </si>
  <si>
    <t>Antal gange faring</t>
  </si>
  <si>
    <t>Minutter per hændelse/pattegris</t>
  </si>
  <si>
    <t>Vask farestier</t>
  </si>
  <si>
    <t>I alt min årligt/årsso</t>
  </si>
  <si>
    <t>Konstant driftsledelse uanset besætningsstørrelse</t>
  </si>
  <si>
    <t>Årligt hændelser</t>
  </si>
  <si>
    <t>Sofoder i Feso/årsso</t>
  </si>
  <si>
    <t>Procentandel hjemmeblandet</t>
  </si>
  <si>
    <t xml:space="preserve">Tidsforbrug per FEsv </t>
  </si>
  <si>
    <t>minutter/1000 Feso</t>
  </si>
  <si>
    <t>timer/solokalitet</t>
  </si>
  <si>
    <t>konstant(min) per hændelse</t>
  </si>
  <si>
    <t>Ansatte ind ved fuldtid</t>
  </si>
  <si>
    <t>Tid per hændelse (min)</t>
  </si>
  <si>
    <t>Møder og andet i arbejdstiden</t>
  </si>
  <si>
    <t>Polte tid i minutter/årsso</t>
  </si>
  <si>
    <t>I alt minutter/årsso</t>
  </si>
  <si>
    <t>I alt minutter årsso</t>
  </si>
  <si>
    <t>Foderdage per sopolt</t>
  </si>
  <si>
    <t>Per årsso i minutter</t>
  </si>
  <si>
    <t>Pattegrise per styk</t>
  </si>
  <si>
    <t>Vaccination pattegrise</t>
  </si>
  <si>
    <t>Polte påstald</t>
  </si>
  <si>
    <t>Polte periodisk, flytninger, brunstsynkronisering</t>
  </si>
  <si>
    <t>Antal gange polt</t>
  </si>
  <si>
    <t>Minutter per polt</t>
  </si>
  <si>
    <t>Faringer per hold</t>
  </si>
  <si>
    <t>Feso ink. polte</t>
  </si>
  <si>
    <t>Halekupering evt. tandslibning</t>
  </si>
  <si>
    <t>Kastrering, smertelindring og lokalbedøvelse</t>
  </si>
  <si>
    <t>Daglig tilvækst</t>
  </si>
  <si>
    <t>Årligt solgte</t>
  </si>
  <si>
    <t>Årligt indsatte</t>
  </si>
  <si>
    <t>Transport fra solokalitet til anden multisite</t>
  </si>
  <si>
    <t>Dagligt transport ved multisite</t>
  </si>
  <si>
    <t>Driftsleder tid konstant årligt</t>
  </si>
  <si>
    <t>Min/gris årligt</t>
  </si>
  <si>
    <t>Per dag i minutter</t>
  </si>
  <si>
    <t>Årlige hændelser</t>
  </si>
  <si>
    <t>Vaccinationer</t>
  </si>
  <si>
    <t>Intern flytning</t>
  </si>
  <si>
    <t>Vedligehold soanlæg og inventar</t>
  </si>
  <si>
    <t>Hjemmeblandet foder søer (beregnet)</t>
  </si>
  <si>
    <t>Løbe-Drægtighedsstalde</t>
  </si>
  <si>
    <t>Kuldudjævning, ammesøer/faring</t>
  </si>
  <si>
    <t>Pasning mælkekopper</t>
  </si>
  <si>
    <t>Totalt antal minutter per produceret</t>
  </si>
  <si>
    <t>Sygdomsbehandling per pattegris</t>
  </si>
  <si>
    <t>Hændelser per smågrisecyklus</t>
  </si>
  <si>
    <t>Faringsovervågning, fødselshjælp</t>
  </si>
  <si>
    <t>Producerede grise per hold</t>
  </si>
  <si>
    <t>Gns. holdinterval i uger</t>
  </si>
  <si>
    <t>Gule celler er rå input celler</t>
  </si>
  <si>
    <t>Input celler med formel, må overskrives</t>
  </si>
  <si>
    <t>Bedriftens navn:</t>
  </si>
  <si>
    <t>Gns. grise på stald</t>
  </si>
  <si>
    <t>Gns. Indsætningsinterval slagtesvin i uger</t>
  </si>
  <si>
    <t>Foderdage per produceret svin</t>
  </si>
  <si>
    <t>Per produceret</t>
  </si>
  <si>
    <t>Antal gange per hold</t>
  </si>
  <si>
    <t>Leveringer per hold inkl. sluttømning</t>
  </si>
  <si>
    <t>FEsv per kg tilvækst</t>
  </si>
  <si>
    <t>minutter/1000 FEsv</t>
  </si>
  <si>
    <t>Løbninger &amp; brunstkontrol</t>
  </si>
  <si>
    <t>Indvægt (overført)</t>
  </si>
  <si>
    <t>Afgangsvægt (overført)</t>
  </si>
  <si>
    <t>Ca. areal per gris på stald</t>
  </si>
  <si>
    <t>kvm/stiareal</t>
  </si>
  <si>
    <t>Dagligt smågrise(fodring, gødning, tilsyn)</t>
  </si>
  <si>
    <t>Slagtevægt (overført)</t>
  </si>
  <si>
    <t>Programmet beregende årlige udleveringer</t>
  </si>
  <si>
    <t>Dage til rengøring</t>
  </si>
  <si>
    <t>Årligt producererede smågrise (overført)</t>
  </si>
  <si>
    <t>Stirareal til vask beregning</t>
  </si>
  <si>
    <t>Konstant  tid per smågris diverse</t>
  </si>
  <si>
    <t>Indsætning og sortering</t>
  </si>
  <si>
    <t>Vask (0 lig med ingen)</t>
  </si>
  <si>
    <t>Dagligt service tjek af servicefaciliter.</t>
  </si>
  <si>
    <t>Foderdage per smågris</t>
  </si>
  <si>
    <t>Ca. kvm/stiareal per gris på stald</t>
  </si>
  <si>
    <t>Gangareal og udleveringsrum areal</t>
  </si>
  <si>
    <t>Hel årsværk medarbejdere</t>
  </si>
  <si>
    <t>Total svinebedrift, timer</t>
  </si>
  <si>
    <t>Flokmedicinering og enkeltdyrsbehandling</t>
  </si>
  <si>
    <t>Intern flytning (babystalde, udtynding)</t>
  </si>
  <si>
    <t>Levering, Vask udlevering og gangareal</t>
  </si>
  <si>
    <t>Tid per udlevering (læssetid)</t>
  </si>
  <si>
    <t>Timer per årsso inkl. smågrise</t>
  </si>
  <si>
    <t>Valgt</t>
  </si>
  <si>
    <t>Vaske tid udleveringsrum, gange etc</t>
  </si>
  <si>
    <t>Søer med  30 kg smågriseproduktion</t>
  </si>
  <si>
    <t>Slagtevægt</t>
  </si>
  <si>
    <t>afgangvægt i kg</t>
  </si>
  <si>
    <t>Smågrise produceret årligt</t>
  </si>
  <si>
    <t>Smågrise tidsforbrug som funktion af årligt producerede</t>
  </si>
  <si>
    <t>Producerede slagtesvin/år</t>
  </si>
  <si>
    <t>I alt minutter pr. produceret per hold</t>
  </si>
  <si>
    <t>Konstant for driftsledelse/årsso</t>
  </si>
  <si>
    <t>Vask af løbe-drægtighedsstalde</t>
  </si>
  <si>
    <t>Variabel driftsledelse pr årsso i min</t>
  </si>
  <si>
    <t>Redebygningsmateriale (halm)</t>
  </si>
  <si>
    <t>Hændelse per hold</t>
  </si>
  <si>
    <t>Minutter per hændelse</t>
  </si>
  <si>
    <t>Eventuelt daglig halmstrøelse (velstrøet leje)</t>
  </si>
  <si>
    <t>Hjemmeblandet foder (beregnes)</t>
  </si>
  <si>
    <t>I alt per hold i minutter pr. produceret</t>
  </si>
  <si>
    <t>I alt ufordelt diverse i minutter pr. produceret</t>
  </si>
  <si>
    <t>Manuel fodertildeling ved restriktiv fodring start</t>
  </si>
  <si>
    <t>Oplysninger produktion slagtegrise</t>
  </si>
  <si>
    <t>Arbejdstidstabel slagtegrise</t>
  </si>
  <si>
    <t>Årligt producerede slagtegrise</t>
  </si>
  <si>
    <t>Årligt indkøbte slagtegrise</t>
  </si>
  <si>
    <t>Årligt solgte slagtegrise</t>
  </si>
  <si>
    <t>Konstant driftsleder tid per slagtegris</t>
  </si>
  <si>
    <t>Udtagning af slagtegrise til levering</t>
  </si>
  <si>
    <t>Veje slagtegrise</t>
  </si>
  <si>
    <t>Minutter i alt per produceret slagtegris</t>
  </si>
  <si>
    <t>Årligt fravænnede ifølge model</t>
  </si>
  <si>
    <t>Producerede smågrise (overkriv gerne formel)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</si>
</sst>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%"/>
    <numFmt numFmtId="166" formatCode="0.000"/>
    <numFmt numFmtId="167" formatCode="#,##0.000"/>
    <numFmt numFmtId="168" formatCode="#,##0.0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sz val="15"/>
      <color theme="3"/>
      <name val="Arial"/>
      <family val="2"/>
    </font>
    <font>
      <sz val="9"/>
      <color rgb="FF006100"/>
      <name val="Arial"/>
      <family val="2"/>
    </font>
    <font>
      <sz val="9"/>
      <color rgb="FF9C000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7F7F7F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7F7F7F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4" fillId="0" borderId="25" applyNumberFormat="0" applyFill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13" fillId="2" borderId="26" applyNumberFormat="0" applyAlignment="0" applyProtection="0"/>
    <xf numFmtId="0" fontId="7" fillId="5" borderId="27" applyNumberFormat="0" applyAlignment="0" applyProtection="0"/>
    <xf numFmtId="0" fontId="8" fillId="5" borderId="26" applyNumberFormat="0" applyAlignment="0" applyProtection="0"/>
    <xf numFmtId="0" fontId="9" fillId="0" borderId="28" applyNumberFormat="0" applyFill="0" applyAlignment="0" applyProtection="0"/>
    <xf numFmtId="0" fontId="10" fillId="6" borderId="29" applyNumberFormat="0" applyAlignment="0" applyProtection="0"/>
    <xf numFmtId="0" fontId="1" fillId="2" borderId="30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26" applyAlignment="0" applyProtection="0"/>
  </cellStyleXfs>
  <cellXfs count="187">
    <xf numFmtId="0" fontId="0" fillId="0" borderId="0" xfId="0"/>
    <xf numFmtId="0" fontId="4" fillId="0" borderId="25" xfId="2"/>
    <xf numFmtId="4" fontId="0" fillId="0" borderId="0" xfId="0" applyNumberFormat="1"/>
    <xf numFmtId="3" fontId="0" fillId="0" borderId="0" xfId="0" applyNumberFormat="1"/>
    <xf numFmtId="0" fontId="0" fillId="0" borderId="1" xfId="0" applyBorder="1"/>
    <xf numFmtId="2" fontId="0" fillId="0" borderId="0" xfId="0" applyNumberFormat="1"/>
    <xf numFmtId="0" fontId="3" fillId="0" borderId="0" xfId="0" applyFont="1" applyAlignment="1">
      <alignment horizontal="left" vertical="center" wrapText="1"/>
    </xf>
    <xf numFmtId="0" fontId="2" fillId="0" borderId="0" xfId="0" applyFont="1"/>
    <xf numFmtId="164" fontId="0" fillId="0" borderId="1" xfId="0" applyNumberFormat="1" applyBorder="1"/>
    <xf numFmtId="9" fontId="0" fillId="0" borderId="0" xfId="1" applyFont="1"/>
    <xf numFmtId="1" fontId="0" fillId="0" borderId="0" xfId="1" applyNumberFormat="1" applyFont="1"/>
    <xf numFmtId="1" fontId="0" fillId="0" borderId="1" xfId="0" applyNumberFormat="1" applyBorder="1"/>
    <xf numFmtId="2" fontId="0" fillId="0" borderId="1" xfId="0" applyNumberFormat="1" applyBorder="1"/>
    <xf numFmtId="4" fontId="2" fillId="0" borderId="0" xfId="0" applyNumberFormat="1" applyFont="1"/>
    <xf numFmtId="164" fontId="0" fillId="0" borderId="0" xfId="0" applyNumberFormat="1"/>
    <xf numFmtId="1" fontId="0" fillId="0" borderId="0" xfId="0" applyNumberFormat="1"/>
    <xf numFmtId="0" fontId="0" fillId="2" borderId="0" xfId="0" applyFill="1"/>
    <xf numFmtId="3" fontId="0" fillId="2" borderId="0" xfId="0" applyNumberFormat="1" applyFill="1"/>
    <xf numFmtId="9" fontId="0" fillId="0" borderId="1" xfId="1" applyFont="1" applyBorder="1"/>
    <xf numFmtId="0" fontId="0" fillId="0" borderId="4" xfId="0" applyBorder="1"/>
    <xf numFmtId="0" fontId="0" fillId="0" borderId="4" xfId="0" applyBorder="1" applyAlignment="1">
      <alignment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5" xfId="0" applyBorder="1" applyAlignment="1">
      <alignment vertical="center" wrapText="1"/>
    </xf>
    <xf numFmtId="2" fontId="0" fillId="0" borderId="4" xfId="0" applyNumberFormat="1" applyBorder="1"/>
    <xf numFmtId="0" fontId="2" fillId="0" borderId="9" xfId="0" applyFont="1" applyBorder="1"/>
    <xf numFmtId="166" fontId="0" fillId="0" borderId="0" xfId="0" applyNumberFormat="1"/>
    <xf numFmtId="4" fontId="0" fillId="0" borderId="20" xfId="0" applyNumberFormat="1" applyBorder="1"/>
    <xf numFmtId="0" fontId="2" fillId="0" borderId="14" xfId="0" applyFont="1" applyBorder="1" applyAlignment="1">
      <alignment horizontal="center" vertical="center"/>
    </xf>
    <xf numFmtId="4" fontId="0" fillId="2" borderId="0" xfId="0" applyNumberFormat="1" applyFill="1"/>
    <xf numFmtId="4" fontId="4" fillId="0" borderId="25" xfId="2" applyNumberFormat="1"/>
    <xf numFmtId="4" fontId="13" fillId="2" borderId="26" xfId="5" applyNumberFormat="1"/>
    <xf numFmtId="0" fontId="0" fillId="0" borderId="0" xfId="0" applyAlignment="1">
      <alignment vertical="center" wrapText="1"/>
    </xf>
    <xf numFmtId="0" fontId="13" fillId="2" borderId="26" xfId="5"/>
    <xf numFmtId="14" fontId="0" fillId="0" borderId="0" xfId="0" applyNumberFormat="1"/>
    <xf numFmtId="4" fontId="0" fillId="0" borderId="32" xfId="0" applyNumberFormat="1" applyBorder="1"/>
    <xf numFmtId="0" fontId="0" fillId="0" borderId="32" xfId="0" applyBorder="1"/>
    <xf numFmtId="164" fontId="0" fillId="0" borderId="32" xfId="0" applyNumberFormat="1" applyBorder="1"/>
    <xf numFmtId="2" fontId="0" fillId="0" borderId="32" xfId="0" applyNumberFormat="1" applyBorder="1"/>
    <xf numFmtId="4" fontId="12" fillId="0" borderId="0" xfId="12" applyNumberFormat="1"/>
    <xf numFmtId="4" fontId="4" fillId="0" borderId="25" xfId="2" applyNumberFormat="1" applyAlignment="1">
      <alignment horizont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/>
    <xf numFmtId="9" fontId="0" fillId="2" borderId="0" xfId="1" applyFont="1" applyFill="1"/>
    <xf numFmtId="165" fontId="0" fillId="2" borderId="0" xfId="1" applyNumberFormat="1" applyFont="1" applyFill="1"/>
    <xf numFmtId="3" fontId="13" fillId="2" borderId="26" xfId="5" applyNumberFormat="1"/>
    <xf numFmtId="2" fontId="0" fillId="2" borderId="1" xfId="0" applyNumberFormat="1" applyFill="1" applyBorder="1"/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/>
    <xf numFmtId="164" fontId="0" fillId="2" borderId="1" xfId="0" applyNumberFormat="1" applyFill="1" applyBorder="1"/>
    <xf numFmtId="0" fontId="2" fillId="0" borderId="15" xfId="0" applyFont="1" applyBorder="1"/>
    <xf numFmtId="0" fontId="0" fillId="0" borderId="35" xfId="0" applyBorder="1"/>
    <xf numFmtId="164" fontId="0" fillId="0" borderId="0" xfId="0" applyNumberFormat="1" applyBorder="1"/>
    <xf numFmtId="0" fontId="13" fillId="2" borderId="26" xfId="5" applyBorder="1"/>
    <xf numFmtId="2" fontId="0" fillId="0" borderId="38" xfId="0" applyNumberFormat="1" applyBorder="1"/>
    <xf numFmtId="0" fontId="0" fillId="0" borderId="0" xfId="0" applyBorder="1"/>
    <xf numFmtId="0" fontId="2" fillId="0" borderId="3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0" xfId="0" applyFont="1" applyBorder="1"/>
    <xf numFmtId="0" fontId="0" fillId="0" borderId="11" xfId="0" applyBorder="1"/>
    <xf numFmtId="164" fontId="0" fillId="0" borderId="41" xfId="0" applyNumberFormat="1" applyBorder="1"/>
    <xf numFmtId="0" fontId="0" fillId="2" borderId="41" xfId="0" applyFill="1" applyBorder="1"/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/>
    <xf numFmtId="0" fontId="0" fillId="0" borderId="42" xfId="0" applyBorder="1" applyAlignment="1">
      <alignment vertical="center" wrapText="1"/>
    </xf>
    <xf numFmtId="10" fontId="13" fillId="2" borderId="26" xfId="5" applyNumberFormat="1"/>
    <xf numFmtId="0" fontId="0" fillId="0" borderId="0" xfId="0" applyFill="1" applyBorder="1"/>
    <xf numFmtId="0" fontId="0" fillId="2" borderId="0" xfId="0" applyFill="1" applyBorder="1"/>
    <xf numFmtId="2" fontId="13" fillId="2" borderId="26" xfId="5" applyNumberFormat="1"/>
    <xf numFmtId="0" fontId="0" fillId="0" borderId="19" xfId="0" applyBorder="1" applyAlignment="1">
      <alignment vertical="center" wrapText="1"/>
    </xf>
    <xf numFmtId="164" fontId="0" fillId="0" borderId="16" xfId="0" applyNumberFormat="1" applyBorder="1" applyAlignment="1">
      <alignment vertical="center" wrapText="1"/>
    </xf>
    <xf numFmtId="4" fontId="0" fillId="0" borderId="2" xfId="0" applyNumberFormat="1" applyBorder="1"/>
    <xf numFmtId="0" fontId="13" fillId="7" borderId="26" xfId="13"/>
    <xf numFmtId="3" fontId="0" fillId="8" borderId="0" xfId="0" applyNumberFormat="1" applyFill="1"/>
    <xf numFmtId="0" fontId="0" fillId="0" borderId="2" xfId="0" applyBorder="1"/>
    <xf numFmtId="167" fontId="0" fillId="0" borderId="0" xfId="0" applyNumberFormat="1"/>
    <xf numFmtId="0" fontId="0" fillId="0" borderId="0" xfId="0" applyBorder="1"/>
    <xf numFmtId="164" fontId="0" fillId="2" borderId="4" xfId="0" applyNumberFormat="1" applyFill="1" applyBorder="1"/>
    <xf numFmtId="3" fontId="0" fillId="2" borderId="0" xfId="1" applyNumberFormat="1" applyFont="1" applyFill="1"/>
    <xf numFmtId="0" fontId="0" fillId="0" borderId="34" xfId="0" applyBorder="1"/>
    <xf numFmtId="0" fontId="0" fillId="0" borderId="33" xfId="0" applyBorder="1"/>
    <xf numFmtId="1" fontId="13" fillId="2" borderId="26" xfId="5" applyNumberFormat="1" applyBorder="1"/>
    <xf numFmtId="0" fontId="0" fillId="0" borderId="35" xfId="0" applyBorder="1" applyAlignment="1">
      <alignment vertical="center" wrapText="1"/>
    </xf>
    <xf numFmtId="2" fontId="13" fillId="2" borderId="37" xfId="5" applyNumberFormat="1" applyBorder="1"/>
    <xf numFmtId="4" fontId="0" fillId="0" borderId="33" xfId="0" applyNumberFormat="1" applyBorder="1"/>
    <xf numFmtId="4" fontId="0" fillId="0" borderId="44" xfId="0" applyNumberFormat="1" applyBorder="1"/>
    <xf numFmtId="2" fontId="0" fillId="0" borderId="45" xfId="0" applyNumberFormat="1" applyBorder="1"/>
    <xf numFmtId="1" fontId="13" fillId="7" borderId="26" xfId="13" applyNumberFormat="1"/>
    <xf numFmtId="2" fontId="13" fillId="2" borderId="26" xfId="5" applyNumberFormat="1" applyBorder="1"/>
    <xf numFmtId="164" fontId="13" fillId="2" borderId="26" xfId="5" applyNumberFormat="1" applyBorder="1"/>
    <xf numFmtId="0" fontId="0" fillId="0" borderId="46" xfId="0" applyBorder="1"/>
    <xf numFmtId="0" fontId="0" fillId="0" borderId="5" xfId="0" applyBorder="1"/>
    <xf numFmtId="2" fontId="0" fillId="0" borderId="6" xfId="0" applyNumberFormat="1" applyBorder="1"/>
    <xf numFmtId="4" fontId="0" fillId="0" borderId="23" xfId="0" applyNumberFormat="1" applyBorder="1"/>
    <xf numFmtId="3" fontId="0" fillId="2" borderId="0" xfId="0" applyNumberFormat="1" applyFill="1" applyBorder="1"/>
    <xf numFmtId="0" fontId="13" fillId="8" borderId="26" xfId="5" applyFill="1"/>
    <xf numFmtId="2" fontId="0" fillId="0" borderId="10" xfId="0" applyNumberFormat="1" applyBorder="1"/>
    <xf numFmtId="4" fontId="4" fillId="0" borderId="0" xfId="2" applyNumberFormat="1" applyBorder="1" applyAlignment="1">
      <alignment horizontal="center"/>
    </xf>
    <xf numFmtId="2" fontId="0" fillId="2" borderId="38" xfId="0" applyNumberFormat="1" applyFill="1" applyBorder="1"/>
    <xf numFmtId="0" fontId="0" fillId="0" borderId="48" xfId="0" applyBorder="1"/>
    <xf numFmtId="0" fontId="13" fillId="2" borderId="49" xfId="5" applyBorder="1"/>
    <xf numFmtId="0" fontId="0" fillId="2" borderId="48" xfId="0" applyFill="1" applyBorder="1"/>
    <xf numFmtId="164" fontId="0" fillId="0" borderId="36" xfId="0" applyNumberFormat="1" applyBorder="1" applyAlignment="1">
      <alignment vertical="center" wrapText="1"/>
    </xf>
    <xf numFmtId="2" fontId="0" fillId="0" borderId="21" xfId="0" applyNumberFormat="1" applyBorder="1"/>
    <xf numFmtId="0" fontId="0" fillId="0" borderId="50" xfId="0" applyBorder="1"/>
    <xf numFmtId="0" fontId="13" fillId="7" borderId="49" xfId="13" applyBorder="1"/>
    <xf numFmtId="1" fontId="0" fillId="0" borderId="48" xfId="0" applyNumberFormat="1" applyBorder="1"/>
    <xf numFmtId="2" fontId="13" fillId="2" borderId="49" xfId="5" applyNumberFormat="1" applyBorder="1"/>
    <xf numFmtId="2" fontId="13" fillId="8" borderId="49" xfId="5" applyNumberFormat="1" applyFill="1" applyBorder="1"/>
    <xf numFmtId="0" fontId="0" fillId="0" borderId="39" xfId="0" applyBorder="1"/>
    <xf numFmtId="1" fontId="13" fillId="2" borderId="51" xfId="5" applyNumberFormat="1" applyBorder="1"/>
    <xf numFmtId="2" fontId="13" fillId="7" borderId="51" xfId="13" applyNumberFormat="1" applyBorder="1"/>
    <xf numFmtId="4" fontId="0" fillId="0" borderId="22" xfId="0" applyNumberFormat="1" applyBorder="1"/>
    <xf numFmtId="4" fontId="0" fillId="0" borderId="52" xfId="0" applyNumberFormat="1" applyBorder="1"/>
    <xf numFmtId="0" fontId="0" fillId="0" borderId="23" xfId="0" applyBorder="1"/>
    <xf numFmtId="2" fontId="0" fillId="0" borderId="52" xfId="0" applyNumberFormat="1" applyBorder="1"/>
    <xf numFmtId="0" fontId="2" fillId="0" borderId="3" xfId="0" applyFont="1" applyBorder="1" applyAlignment="1">
      <alignment horizontal="left"/>
    </xf>
    <xf numFmtId="2" fontId="2" fillId="0" borderId="3" xfId="0" applyNumberFormat="1" applyFont="1" applyBorder="1" applyAlignment="1">
      <alignment horizontal="right"/>
    </xf>
    <xf numFmtId="1" fontId="13" fillId="2" borderId="0" xfId="5" applyNumberFormat="1" applyBorder="1"/>
    <xf numFmtId="0" fontId="2" fillId="0" borderId="13" xfId="0" applyFont="1" applyBorder="1" applyAlignment="1">
      <alignment horizontal="center" vertical="center"/>
    </xf>
    <xf numFmtId="0" fontId="0" fillId="0" borderId="0" xfId="0" applyBorder="1"/>
    <xf numFmtId="4" fontId="0" fillId="0" borderId="53" xfId="0" applyNumberFormat="1" applyBorder="1"/>
    <xf numFmtId="0" fontId="0" fillId="0" borderId="0" xfId="0" applyAlignment="1"/>
    <xf numFmtId="3" fontId="0" fillId="0" borderId="7" xfId="0" applyNumberFormat="1" applyBorder="1"/>
    <xf numFmtId="3" fontId="0" fillId="0" borderId="8" xfId="0" applyNumberFormat="1" applyBorder="1"/>
    <xf numFmtId="168" fontId="0" fillId="0" borderId="10" xfId="0" applyNumberFormat="1" applyBorder="1"/>
    <xf numFmtId="0" fontId="0" fillId="0" borderId="46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46" xfId="0" applyNumberFormat="1" applyBorder="1"/>
    <xf numFmtId="4" fontId="0" fillId="0" borderId="6" xfId="0" applyNumberFormat="1" applyBorder="1"/>
    <xf numFmtId="3" fontId="0" fillId="0" borderId="11" xfId="0" applyNumberFormat="1" applyBorder="1"/>
    <xf numFmtId="4" fontId="16" fillId="0" borderId="8" xfId="0" applyNumberFormat="1" applyFont="1" applyBorder="1"/>
    <xf numFmtId="2" fontId="0" fillId="0" borderId="47" xfId="0" applyNumberFormat="1" applyBorder="1"/>
    <xf numFmtId="4" fontId="0" fillId="0" borderId="10" xfId="0" applyNumberFormat="1" applyBorder="1"/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4" fontId="0" fillId="0" borderId="47" xfId="0" applyNumberFormat="1" applyBorder="1"/>
    <xf numFmtId="2" fontId="0" fillId="0" borderId="41" xfId="0" applyNumberFormat="1" applyBorder="1"/>
    <xf numFmtId="2" fontId="0" fillId="0" borderId="9" xfId="0" applyNumberFormat="1" applyBorder="1"/>
    <xf numFmtId="0" fontId="0" fillId="0" borderId="15" xfId="0" applyBorder="1" applyAlignment="1">
      <alignment wrapText="1"/>
    </xf>
    <xf numFmtId="164" fontId="0" fillId="0" borderId="36" xfId="0" applyNumberFormat="1" applyBorder="1" applyAlignment="1">
      <alignment wrapText="1"/>
    </xf>
    <xf numFmtId="0" fontId="2" fillId="0" borderId="23" xfId="0" applyFont="1" applyBorder="1"/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48" xfId="0" applyFont="1" applyBorder="1"/>
    <xf numFmtId="0" fontId="0" fillId="0" borderId="0" xfId="0" applyBorder="1" applyAlignment="1"/>
    <xf numFmtId="3" fontId="4" fillId="0" borderId="25" xfId="2" applyNumberFormat="1"/>
    <xf numFmtId="0" fontId="0" fillId="0" borderId="41" xfId="0" applyBorder="1"/>
    <xf numFmtId="2" fontId="2" fillId="0" borderId="15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9" xfId="0" applyFont="1" applyBorder="1"/>
    <xf numFmtId="0" fontId="2" fillId="0" borderId="55" xfId="0" applyFont="1" applyBorder="1" applyAlignment="1">
      <alignment vertical="center" wrapText="1"/>
    </xf>
    <xf numFmtId="0" fontId="13" fillId="2" borderId="56" xfId="5" applyBorder="1"/>
    <xf numFmtId="2" fontId="0" fillId="0" borderId="0" xfId="0" applyNumberFormat="1" applyBorder="1"/>
    <xf numFmtId="2" fontId="13" fillId="2" borderId="56" xfId="5" applyNumberFormat="1" applyBorder="1"/>
    <xf numFmtId="2" fontId="2" fillId="0" borderId="40" xfId="0" applyNumberFormat="1" applyFont="1" applyBorder="1"/>
    <xf numFmtId="2" fontId="2" fillId="0" borderId="23" xfId="0" applyNumberFormat="1" applyFont="1" applyBorder="1"/>
    <xf numFmtId="164" fontId="0" fillId="0" borderId="57" xfId="0" applyNumberFormat="1" applyBorder="1"/>
    <xf numFmtId="164" fontId="2" fillId="0" borderId="58" xfId="0" applyNumberFormat="1" applyFont="1" applyBorder="1"/>
    <xf numFmtId="164" fontId="2" fillId="0" borderId="0" xfId="0" applyNumberFormat="1" applyFont="1" applyBorder="1"/>
    <xf numFmtId="164" fontId="2" fillId="0" borderId="55" xfId="0" applyNumberFormat="1" applyFont="1" applyBorder="1" applyAlignment="1">
      <alignment vertical="center" wrapText="1"/>
    </xf>
    <xf numFmtId="164" fontId="0" fillId="0" borderId="59" xfId="0" applyNumberFormat="1" applyBorder="1"/>
    <xf numFmtId="164" fontId="2" fillId="0" borderId="60" xfId="0" applyNumberFormat="1" applyFont="1" applyBorder="1" applyAlignment="1">
      <alignment vertical="center" wrapText="1"/>
    </xf>
    <xf numFmtId="164" fontId="0" fillId="0" borderId="61" xfId="0" applyNumberFormat="1" applyBorder="1"/>
    <xf numFmtId="2" fontId="0" fillId="0" borderId="58" xfId="0" applyNumberFormat="1" applyBorder="1"/>
    <xf numFmtId="2" fontId="2" fillId="0" borderId="62" xfId="0" applyNumberFormat="1" applyFont="1" applyBorder="1"/>
    <xf numFmtId="164" fontId="13" fillId="7" borderId="26" xfId="13" applyNumberFormat="1"/>
    <xf numFmtId="3" fontId="13" fillId="7" borderId="26" xfId="13" applyNumberFormat="1"/>
    <xf numFmtId="0" fontId="0" fillId="0" borderId="0" xfId="0" applyBorder="1" applyAlignment="1">
      <alignment horizontal="center" textRotation="90"/>
    </xf>
    <xf numFmtId="0" fontId="0" fillId="0" borderId="0" xfId="0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" fontId="4" fillId="0" borderId="25" xfId="2" applyNumberFormat="1" applyAlignment="1">
      <alignment horizontal="center"/>
    </xf>
    <xf numFmtId="4" fontId="4" fillId="2" borderId="25" xfId="2" applyNumberFormat="1" applyFill="1" applyAlignment="1">
      <alignment horizontal="center"/>
    </xf>
    <xf numFmtId="0" fontId="13" fillId="2" borderId="43" xfId="5" applyBorder="1" applyAlignment="1">
      <alignment horizontal="center" vertical="center" wrapText="1"/>
    </xf>
    <xf numFmtId="0" fontId="13" fillId="2" borderId="0" xfId="5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3" fillId="7" borderId="43" xfId="13" applyBorder="1" applyAlignment="1">
      <alignment horizontal="center" vertical="center" wrapText="1"/>
    </xf>
    <xf numFmtId="0" fontId="13" fillId="7" borderId="31" xfId="13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</cellXfs>
  <cellStyles count="14">
    <cellStyle name="Bemærk!" xfId="10" builtinId="10" hidden="1" customBuiltin="1"/>
    <cellStyle name="Beregning" xfId="7" builtinId="22" hidden="1"/>
    <cellStyle name="Forklarende tekst" xfId="11" builtinId="53" hidden="1"/>
    <cellStyle name="God" xfId="3" builtinId="26" hidden="1"/>
    <cellStyle name="Input" xfId="5" builtinId="20" customBuiltin="1"/>
    <cellStyle name="Input med formel" xfId="13"/>
    <cellStyle name="Kontrollér celle" xfId="9" builtinId="23" hidden="1"/>
    <cellStyle name="Link" xfId="12" builtinId="8"/>
    <cellStyle name="Normal" xfId="0" builtinId="0"/>
    <cellStyle name="Output" xfId="6" builtinId="21" hidden="1"/>
    <cellStyle name="Overskrift 1" xfId="2" builtinId="16"/>
    <cellStyle name="Procent" xfId="1" builtinId="5"/>
    <cellStyle name="Sammenkædet celle" xfId="8" builtinId="24" hidden="1"/>
    <cellStyle name="Ugyldig" xfId="4" builtinId="27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r>
              <a:rPr lang="da-DK"/>
              <a:t>Arbejdstid per årsso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Unicode MS" panose="020B0604020202020204" pitchFamily="34" charset="-128"/>
              <a:ea typeface="Arial Unicode MS" panose="020B0604020202020204" pitchFamily="34" charset="-128"/>
              <a:cs typeface="Arial Unicode MS" panose="020B0604020202020204" pitchFamily="34" charset="-128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10191050091844546"/>
          <c:y val="0.1961147902869757"/>
          <c:w val="0.8402704478984534"/>
          <c:h val="0.58793589543028979"/>
        </c:manualLayout>
      </c:layout>
      <c:scatterChart>
        <c:scatterStyle val="lineMarker"/>
        <c:varyColors val="0"/>
        <c:ser>
          <c:idx val="0"/>
          <c:order val="0"/>
          <c:tx>
            <c:strRef>
              <c:f>'Arbejdstids grise'!$C$355</c:f>
              <c:strCache>
                <c:ptCount val="1"/>
                <c:pt idx="0">
                  <c:v>Søer ved fravænning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'Arbejdstids grise'!$B$356:$B$395</c:f>
              <c:numCache>
                <c:formatCode>General</c:formatCode>
                <c:ptCount val="40"/>
                <c:pt idx="0">
                  <c:v>100</c:v>
                </c:pt>
                <c:pt idx="1">
                  <c:v>150</c:v>
                </c:pt>
                <c:pt idx="2">
                  <c:v>200</c:v>
                </c:pt>
                <c:pt idx="3">
                  <c:v>250</c:v>
                </c:pt>
                <c:pt idx="4">
                  <c:v>300</c:v>
                </c:pt>
                <c:pt idx="5">
                  <c:v>350</c:v>
                </c:pt>
                <c:pt idx="6">
                  <c:v>400</c:v>
                </c:pt>
                <c:pt idx="7">
                  <c:v>450</c:v>
                </c:pt>
                <c:pt idx="8">
                  <c:v>500</c:v>
                </c:pt>
                <c:pt idx="9">
                  <c:v>550</c:v>
                </c:pt>
                <c:pt idx="10">
                  <c:v>600</c:v>
                </c:pt>
                <c:pt idx="11">
                  <c:v>650</c:v>
                </c:pt>
                <c:pt idx="12">
                  <c:v>700</c:v>
                </c:pt>
                <c:pt idx="13">
                  <c:v>750</c:v>
                </c:pt>
                <c:pt idx="14">
                  <c:v>800</c:v>
                </c:pt>
                <c:pt idx="15">
                  <c:v>850</c:v>
                </c:pt>
                <c:pt idx="16">
                  <c:v>900</c:v>
                </c:pt>
                <c:pt idx="17">
                  <c:v>950</c:v>
                </c:pt>
                <c:pt idx="18">
                  <c:v>1000</c:v>
                </c:pt>
                <c:pt idx="19">
                  <c:v>1050</c:v>
                </c:pt>
                <c:pt idx="20">
                  <c:v>1100</c:v>
                </c:pt>
                <c:pt idx="21">
                  <c:v>1150</c:v>
                </c:pt>
                <c:pt idx="22">
                  <c:v>1200</c:v>
                </c:pt>
                <c:pt idx="23">
                  <c:v>1250</c:v>
                </c:pt>
                <c:pt idx="24">
                  <c:v>1300</c:v>
                </c:pt>
                <c:pt idx="25">
                  <c:v>1350</c:v>
                </c:pt>
                <c:pt idx="26">
                  <c:v>1400</c:v>
                </c:pt>
                <c:pt idx="27">
                  <c:v>1450</c:v>
                </c:pt>
                <c:pt idx="28">
                  <c:v>1500</c:v>
                </c:pt>
                <c:pt idx="29">
                  <c:v>1550</c:v>
                </c:pt>
                <c:pt idx="30">
                  <c:v>1600</c:v>
                </c:pt>
                <c:pt idx="31">
                  <c:v>1650</c:v>
                </c:pt>
                <c:pt idx="32">
                  <c:v>1700</c:v>
                </c:pt>
                <c:pt idx="33">
                  <c:v>1750</c:v>
                </c:pt>
                <c:pt idx="34">
                  <c:v>1800</c:v>
                </c:pt>
                <c:pt idx="35">
                  <c:v>1850</c:v>
                </c:pt>
                <c:pt idx="36">
                  <c:v>1900</c:v>
                </c:pt>
                <c:pt idx="37">
                  <c:v>1950</c:v>
                </c:pt>
                <c:pt idx="38">
                  <c:v>2000</c:v>
                </c:pt>
                <c:pt idx="39">
                  <c:v>2400</c:v>
                </c:pt>
              </c:numCache>
            </c:numRef>
          </c:xVal>
          <c:yVal>
            <c:numRef>
              <c:f>'Arbejdstids grise'!$C$356:$C$395</c:f>
              <c:numCache>
                <c:formatCode>0.00</c:formatCode>
                <c:ptCount val="40"/>
                <c:pt idx="0">
                  <c:v>10.003842310909954</c:v>
                </c:pt>
                <c:pt idx="1">
                  <c:v>9.2720487310628439</c:v>
                </c:pt>
                <c:pt idx="2">
                  <c:v>8.9061519411392851</c:v>
                </c:pt>
                <c:pt idx="3">
                  <c:v>8.6866138671851516</c:v>
                </c:pt>
                <c:pt idx="4">
                  <c:v>8.5402551512157281</c:v>
                </c:pt>
                <c:pt idx="5">
                  <c:v>8.4357132112375712</c:v>
                </c:pt>
                <c:pt idx="6">
                  <c:v>8.3573067562539514</c:v>
                </c:pt>
                <c:pt idx="7">
                  <c:v>8.2963239579333585</c:v>
                </c:pt>
                <c:pt idx="8">
                  <c:v>8.2475377192768846</c:v>
                </c:pt>
                <c:pt idx="9">
                  <c:v>8.2076217058306788</c:v>
                </c:pt>
                <c:pt idx="10">
                  <c:v>8.1743583612921729</c:v>
                </c:pt>
                <c:pt idx="11">
                  <c:v>8.146212454374977</c:v>
                </c:pt>
                <c:pt idx="12">
                  <c:v>8.1220873913030935</c:v>
                </c:pt>
                <c:pt idx="13">
                  <c:v>8.1011790033074611</c:v>
                </c:pt>
                <c:pt idx="14">
                  <c:v>8.0828841638112845</c:v>
                </c:pt>
                <c:pt idx="15">
                  <c:v>8.0667416583734788</c:v>
                </c:pt>
                <c:pt idx="16">
                  <c:v>8.0523927646509872</c:v>
                </c:pt>
                <c:pt idx="17">
                  <c:v>8.0395542807940199</c:v>
                </c:pt>
                <c:pt idx="18">
                  <c:v>8.0279996453227511</c:v>
                </c:pt>
                <c:pt idx="19">
                  <c:v>8.0175454513249331</c:v>
                </c:pt>
                <c:pt idx="20">
                  <c:v>8.0080416385996465</c:v>
                </c:pt>
                <c:pt idx="21">
                  <c:v>7.9993642443722131</c:v>
                </c:pt>
                <c:pt idx="22">
                  <c:v>7.9914099663303944</c:v>
                </c:pt>
                <c:pt idx="23">
                  <c:v>7.9840920305319241</c:v>
                </c:pt>
                <c:pt idx="24">
                  <c:v>7.9773370128717964</c:v>
                </c:pt>
                <c:pt idx="25">
                  <c:v>7.9710823668901973</c:v>
                </c:pt>
                <c:pt idx="26">
                  <c:v>7.9652744813358565</c:v>
                </c:pt>
                <c:pt idx="27">
                  <c:v>7.9598671396128458</c:v>
                </c:pt>
                <c:pt idx="28">
                  <c:v>7.9548202873380394</c:v>
                </c:pt>
                <c:pt idx="29">
                  <c:v>7.9500990384358001</c:v>
                </c:pt>
                <c:pt idx="30">
                  <c:v>7.9456728675899511</c:v>
                </c:pt>
                <c:pt idx="31">
                  <c:v>7.9415149495226363</c:v>
                </c:pt>
                <c:pt idx="32">
                  <c:v>7.9376016148710482</c:v>
                </c:pt>
                <c:pt idx="33">
                  <c:v>7.9339118993424069</c:v>
                </c:pt>
                <c:pt idx="34">
                  <c:v>7.9304271680098024</c:v>
                </c:pt>
                <c:pt idx="35">
                  <c:v>7.927130800533015</c:v>
                </c:pt>
                <c:pt idx="36">
                  <c:v>7.9240079260813188</c:v>
                </c:pt>
                <c:pt idx="37">
                  <c:v>7.9210451990374029</c:v>
                </c:pt>
                <c:pt idx="38">
                  <c:v>7.9182306083456835</c:v>
                </c:pt>
                <c:pt idx="39">
                  <c:v>7.899935768849506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B7-4B9E-A636-2CD652F282FA}"/>
            </c:ext>
          </c:extLst>
        </c:ser>
        <c:ser>
          <c:idx val="1"/>
          <c:order val="1"/>
          <c:tx>
            <c:strRef>
              <c:f>'Arbejdstids grise'!$D$355</c:f>
              <c:strCache>
                <c:ptCount val="1"/>
                <c:pt idx="0">
                  <c:v>Søer med  30 kg smågriseproduktion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'Arbejdstids grise'!$B$356:$B$395</c:f>
              <c:numCache>
                <c:formatCode>General</c:formatCode>
                <c:ptCount val="40"/>
                <c:pt idx="0">
                  <c:v>100</c:v>
                </c:pt>
                <c:pt idx="1">
                  <c:v>150</c:v>
                </c:pt>
                <c:pt idx="2">
                  <c:v>200</c:v>
                </c:pt>
                <c:pt idx="3">
                  <c:v>250</c:v>
                </c:pt>
                <c:pt idx="4">
                  <c:v>300</c:v>
                </c:pt>
                <c:pt idx="5">
                  <c:v>350</c:v>
                </c:pt>
                <c:pt idx="6">
                  <c:v>400</c:v>
                </c:pt>
                <c:pt idx="7">
                  <c:v>450</c:v>
                </c:pt>
                <c:pt idx="8">
                  <c:v>500</c:v>
                </c:pt>
                <c:pt idx="9">
                  <c:v>550</c:v>
                </c:pt>
                <c:pt idx="10">
                  <c:v>600</c:v>
                </c:pt>
                <c:pt idx="11">
                  <c:v>650</c:v>
                </c:pt>
                <c:pt idx="12">
                  <c:v>700</c:v>
                </c:pt>
                <c:pt idx="13">
                  <c:v>750</c:v>
                </c:pt>
                <c:pt idx="14">
                  <c:v>800</c:v>
                </c:pt>
                <c:pt idx="15">
                  <c:v>850</c:v>
                </c:pt>
                <c:pt idx="16">
                  <c:v>900</c:v>
                </c:pt>
                <c:pt idx="17">
                  <c:v>950</c:v>
                </c:pt>
                <c:pt idx="18">
                  <c:v>1000</c:v>
                </c:pt>
                <c:pt idx="19">
                  <c:v>1050</c:v>
                </c:pt>
                <c:pt idx="20">
                  <c:v>1100</c:v>
                </c:pt>
                <c:pt idx="21">
                  <c:v>1150</c:v>
                </c:pt>
                <c:pt idx="22">
                  <c:v>1200</c:v>
                </c:pt>
                <c:pt idx="23">
                  <c:v>1250</c:v>
                </c:pt>
                <c:pt idx="24">
                  <c:v>1300</c:v>
                </c:pt>
                <c:pt idx="25">
                  <c:v>1350</c:v>
                </c:pt>
                <c:pt idx="26">
                  <c:v>1400</c:v>
                </c:pt>
                <c:pt idx="27">
                  <c:v>1450</c:v>
                </c:pt>
                <c:pt idx="28">
                  <c:v>1500</c:v>
                </c:pt>
                <c:pt idx="29">
                  <c:v>1550</c:v>
                </c:pt>
                <c:pt idx="30">
                  <c:v>1600</c:v>
                </c:pt>
                <c:pt idx="31">
                  <c:v>1650</c:v>
                </c:pt>
                <c:pt idx="32">
                  <c:v>1700</c:v>
                </c:pt>
                <c:pt idx="33">
                  <c:v>1750</c:v>
                </c:pt>
                <c:pt idx="34">
                  <c:v>1800</c:v>
                </c:pt>
                <c:pt idx="35">
                  <c:v>1850</c:v>
                </c:pt>
                <c:pt idx="36">
                  <c:v>1900</c:v>
                </c:pt>
                <c:pt idx="37">
                  <c:v>1950</c:v>
                </c:pt>
                <c:pt idx="38">
                  <c:v>2000</c:v>
                </c:pt>
                <c:pt idx="39">
                  <c:v>2400</c:v>
                </c:pt>
              </c:numCache>
            </c:numRef>
          </c:xVal>
          <c:yVal>
            <c:numRef>
              <c:f>'Arbejdstids grise'!$D$356:$D$395</c:f>
              <c:numCache>
                <c:formatCode>0.00</c:formatCode>
                <c:ptCount val="40"/>
                <c:pt idx="0">
                  <c:v>14.569925843927765</c:v>
                </c:pt>
                <c:pt idx="1">
                  <c:v>13.182965597413988</c:v>
                </c:pt>
                <c:pt idx="2">
                  <c:v>12.489485474157096</c:v>
                </c:pt>
                <c:pt idx="3">
                  <c:v>12.073397400202962</c:v>
                </c:pt>
                <c:pt idx="4">
                  <c:v>11.796005350900206</c:v>
                </c:pt>
                <c:pt idx="5">
                  <c:v>11.597868172826811</c:v>
                </c:pt>
                <c:pt idx="6">
                  <c:v>11.449265289271763</c:v>
                </c:pt>
                <c:pt idx="7">
                  <c:v>11.333685268728946</c:v>
                </c:pt>
                <c:pt idx="8">
                  <c:v>11.241221252294695</c:v>
                </c:pt>
                <c:pt idx="9">
                  <c:v>11.165568875212125</c:v>
                </c:pt>
                <c:pt idx="10">
                  <c:v>11.102525227643316</c:v>
                </c:pt>
                <c:pt idx="11">
                  <c:v>11.049180602777403</c:v>
                </c:pt>
                <c:pt idx="12">
                  <c:v>11.003456638606618</c:v>
                </c:pt>
                <c:pt idx="13">
                  <c:v>10.963829202991938</c:v>
                </c:pt>
                <c:pt idx="14">
                  <c:v>10.929155196829095</c:v>
                </c:pt>
                <c:pt idx="15">
                  <c:v>10.898560485508936</c:v>
                </c:pt>
                <c:pt idx="16">
                  <c:v>10.871365186557686</c:v>
                </c:pt>
                <c:pt idx="17">
                  <c:v>10.847032550653935</c:v>
                </c:pt>
                <c:pt idx="18">
                  <c:v>10.825133178340561</c:v>
                </c:pt>
                <c:pt idx="19">
                  <c:v>10.805319460533219</c:v>
                </c:pt>
                <c:pt idx="20">
                  <c:v>10.787306989799275</c:v>
                </c:pt>
                <c:pt idx="21">
                  <c:v>10.770860820868286</c:v>
                </c:pt>
                <c:pt idx="22">
                  <c:v>10.755785166014872</c:v>
                </c:pt>
                <c:pt idx="23">
                  <c:v>10.741915563549735</c:v>
                </c:pt>
                <c:pt idx="24">
                  <c:v>10.729112853581915</c:v>
                </c:pt>
                <c:pt idx="25">
                  <c:v>10.7172584925006</c:v>
                </c:pt>
                <c:pt idx="26">
                  <c:v>10.706250871496525</c:v>
                </c:pt>
                <c:pt idx="27">
                  <c:v>10.696002396768588</c:v>
                </c:pt>
                <c:pt idx="28">
                  <c:v>10.686437153689184</c:v>
                </c:pt>
                <c:pt idx="29">
                  <c:v>10.677489023066514</c:v>
                </c:pt>
                <c:pt idx="30">
                  <c:v>10.669100150607761</c:v>
                </c:pt>
                <c:pt idx="31">
                  <c:v>10.661219694661659</c:v>
                </c:pt>
                <c:pt idx="32">
                  <c:v>10.653802794947682</c:v>
                </c:pt>
                <c:pt idx="33">
                  <c:v>10.646809718074504</c:v>
                </c:pt>
                <c:pt idx="34">
                  <c:v>10.640205145472057</c:v>
                </c:pt>
                <c:pt idx="35">
                  <c:v>10.633957576794069</c:v>
                </c:pt>
                <c:pt idx="36">
                  <c:v>10.628038827520182</c:v>
                </c:pt>
                <c:pt idx="37">
                  <c:v>10.622423603850084</c:v>
                </c:pt>
                <c:pt idx="38">
                  <c:v>10.617089141363493</c:v>
                </c:pt>
                <c:pt idx="39">
                  <c:v>10.58241513520065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B7-4B9E-A636-2CD652F28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4255160"/>
        <c:axId val="794260736"/>
      </c:scatterChart>
      <c:valAx>
        <c:axId val="794255160"/>
        <c:scaling>
          <c:orientation val="minMax"/>
          <c:max val="15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Unicode MS" panose="020B0604020202020204" pitchFamily="34" charset="-128"/>
                    <a:ea typeface="Arial Unicode MS" panose="020B0604020202020204" pitchFamily="34" charset="-128"/>
                    <a:cs typeface="Arial Unicode MS" panose="020B0604020202020204" pitchFamily="34" charset="-128"/>
                  </a:defRPr>
                </a:pPr>
                <a:r>
                  <a:rPr lang="da-DK"/>
                  <a:t>Antal</a:t>
                </a:r>
                <a:r>
                  <a:rPr lang="da-DK" baseline="0"/>
                  <a:t> årssøer</a:t>
                </a:r>
                <a:endParaRPr lang="da-DK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Unicode MS" panose="020B0604020202020204" pitchFamily="34" charset="-128"/>
                  <a:ea typeface="Arial Unicode MS" panose="020B0604020202020204" pitchFamily="34" charset="-128"/>
                  <a:cs typeface="Arial Unicode MS" panose="020B0604020202020204" pitchFamily="34" charset="-128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da-DK"/>
          </a:p>
        </c:txPr>
        <c:crossAx val="794260736"/>
        <c:crosses val="autoZero"/>
        <c:crossBetween val="midCat"/>
      </c:valAx>
      <c:valAx>
        <c:axId val="79426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Unicode MS" panose="020B0604020202020204" pitchFamily="34" charset="-128"/>
                    <a:ea typeface="Arial Unicode MS" panose="020B0604020202020204" pitchFamily="34" charset="-128"/>
                    <a:cs typeface="Arial Unicode MS" panose="020B0604020202020204" pitchFamily="34" charset="-128"/>
                  </a:defRPr>
                </a:pPr>
                <a:r>
                  <a:rPr lang="da-DK"/>
                  <a:t>Timer</a:t>
                </a:r>
                <a:r>
                  <a:rPr lang="da-DK" baseline="0"/>
                  <a:t> årsso</a:t>
                </a:r>
                <a:endParaRPr lang="da-DK"/>
              </a:p>
            </c:rich>
          </c:tx>
          <c:layout>
            <c:manualLayout>
              <c:xMode val="edge"/>
              <c:yMode val="edge"/>
              <c:x val="4.8371125101567214E-2"/>
              <c:y val="6.801065897297189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Unicode MS" panose="020B0604020202020204" pitchFamily="34" charset="-128"/>
                  <a:ea typeface="Arial Unicode MS" panose="020B0604020202020204" pitchFamily="34" charset="-128"/>
                  <a:cs typeface="Arial Unicode MS" panose="020B0604020202020204" pitchFamily="34" charset="-128"/>
                </a:defRPr>
              </a:pPr>
              <a:endParaRPr lang="da-D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da-DK"/>
          </a:p>
        </c:txPr>
        <c:crossAx val="794255160"/>
        <c:crosses val="autoZero"/>
        <c:crossBetween val="midCat"/>
        <c:majorUnit val="5"/>
        <c:min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Unicode MS" panose="020B0604020202020204" pitchFamily="34" charset="-128"/>
              <a:ea typeface="Arial Unicode MS" panose="020B0604020202020204" pitchFamily="34" charset="-128"/>
              <a:cs typeface="Arial Unicode MS" panose="020B0604020202020204" pitchFamily="34" charset="-128"/>
            </a:defRPr>
          </a:pPr>
          <a:endParaRPr lang="da-DK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 Unicode MS" panose="020B0604020202020204" pitchFamily="34" charset="-128"/>
          <a:ea typeface="Arial Unicode MS" panose="020B0604020202020204" pitchFamily="34" charset="-128"/>
          <a:cs typeface="Arial Unicode MS" panose="020B0604020202020204" pitchFamily="34" charset="-128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r>
              <a:rPr lang="da-DK"/>
              <a:t>Arbejdstid per smågris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Unicode MS" panose="020B0604020202020204" pitchFamily="34" charset="-128"/>
              <a:ea typeface="Arial Unicode MS" panose="020B0604020202020204" pitchFamily="34" charset="-128"/>
              <a:cs typeface="Arial Unicode MS" panose="020B0604020202020204" pitchFamily="34" charset="-128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1164770341207349"/>
          <c:y val="0.20564814814814819"/>
          <c:w val="0.80640485564304443"/>
          <c:h val="0.59656895829197809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'Arbejdstids grise'!$B$401:$B$431</c:f>
              <c:numCache>
                <c:formatCode>General</c:formatCode>
                <c:ptCount val="31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  <c:pt idx="11">
                  <c:v>6500</c:v>
                </c:pt>
                <c:pt idx="12">
                  <c:v>7000</c:v>
                </c:pt>
                <c:pt idx="13">
                  <c:v>7500</c:v>
                </c:pt>
                <c:pt idx="14">
                  <c:v>8000</c:v>
                </c:pt>
                <c:pt idx="15">
                  <c:v>8500</c:v>
                </c:pt>
                <c:pt idx="16">
                  <c:v>9000</c:v>
                </c:pt>
                <c:pt idx="17">
                  <c:v>9500</c:v>
                </c:pt>
                <c:pt idx="18">
                  <c:v>10000</c:v>
                </c:pt>
                <c:pt idx="19">
                  <c:v>12500</c:v>
                </c:pt>
                <c:pt idx="20">
                  <c:v>15000</c:v>
                </c:pt>
                <c:pt idx="21">
                  <c:v>17500</c:v>
                </c:pt>
                <c:pt idx="22">
                  <c:v>20000</c:v>
                </c:pt>
                <c:pt idx="23">
                  <c:v>22500</c:v>
                </c:pt>
                <c:pt idx="24">
                  <c:v>25000</c:v>
                </c:pt>
                <c:pt idx="25">
                  <c:v>27500</c:v>
                </c:pt>
                <c:pt idx="26">
                  <c:v>30000</c:v>
                </c:pt>
                <c:pt idx="27">
                  <c:v>32500</c:v>
                </c:pt>
                <c:pt idx="28">
                  <c:v>35000</c:v>
                </c:pt>
                <c:pt idx="29">
                  <c:v>37500</c:v>
                </c:pt>
                <c:pt idx="30">
                  <c:v>40000</c:v>
                </c:pt>
              </c:numCache>
            </c:numRef>
          </c:xVal>
          <c:yVal>
            <c:numRef>
              <c:f>'Arbejdstids grise'!$C$401:$C$431</c:f>
              <c:numCache>
                <c:formatCode>0.00</c:formatCode>
                <c:ptCount val="31"/>
                <c:pt idx="0">
                  <c:v>16.47540740740741</c:v>
                </c:pt>
                <c:pt idx="1">
                  <c:v>12.544407407407407</c:v>
                </c:pt>
                <c:pt idx="2">
                  <c:v>10.578907407407407</c:v>
                </c:pt>
                <c:pt idx="3">
                  <c:v>9.399607407407407</c:v>
                </c:pt>
                <c:pt idx="4">
                  <c:v>8.6134074074074078</c:v>
                </c:pt>
                <c:pt idx="5">
                  <c:v>8.0518359788359781</c:v>
                </c:pt>
                <c:pt idx="6">
                  <c:v>7.6306574074074067</c:v>
                </c:pt>
                <c:pt idx="7">
                  <c:v>7.3030740740740736</c:v>
                </c:pt>
                <c:pt idx="8">
                  <c:v>7.0410074074074069</c:v>
                </c:pt>
                <c:pt idx="9">
                  <c:v>6.8265892255892258</c:v>
                </c:pt>
                <c:pt idx="10">
                  <c:v>6.6479074074074065</c:v>
                </c:pt>
                <c:pt idx="11">
                  <c:v>6.4967150997150984</c:v>
                </c:pt>
                <c:pt idx="12">
                  <c:v>6.3671216931216925</c:v>
                </c:pt>
                <c:pt idx="13">
                  <c:v>6.2548074074074069</c:v>
                </c:pt>
                <c:pt idx="14">
                  <c:v>6.1565324074074077</c:v>
                </c:pt>
                <c:pt idx="15">
                  <c:v>6.0698191721132897</c:v>
                </c:pt>
                <c:pt idx="16">
                  <c:v>5.9927407407407403</c:v>
                </c:pt>
                <c:pt idx="17">
                  <c:v>5.9237758284600392</c:v>
                </c:pt>
                <c:pt idx="18">
                  <c:v>5.8617074074074074</c:v>
                </c:pt>
                <c:pt idx="19">
                  <c:v>5.6258474074074067</c:v>
                </c:pt>
                <c:pt idx="20">
                  <c:v>5.4686074074074069</c:v>
                </c:pt>
                <c:pt idx="21">
                  <c:v>5.3562931216931222</c:v>
                </c:pt>
                <c:pt idx="22">
                  <c:v>5.2720574074074076</c:v>
                </c:pt>
                <c:pt idx="23">
                  <c:v>5.2065407407407402</c:v>
                </c:pt>
                <c:pt idx="24">
                  <c:v>5.1541274074074064</c:v>
                </c:pt>
                <c:pt idx="25">
                  <c:v>5.1112437710437701</c:v>
                </c:pt>
                <c:pt idx="26">
                  <c:v>5.0755074074074065</c:v>
                </c:pt>
                <c:pt idx="27">
                  <c:v>5.0452689458689459</c:v>
                </c:pt>
                <c:pt idx="28">
                  <c:v>5.0193502645502646</c:v>
                </c:pt>
                <c:pt idx="29">
                  <c:v>4.9968874074074074</c:v>
                </c:pt>
                <c:pt idx="30">
                  <c:v>4.9772324074074072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85-4B3E-9055-9055BEECC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7317536"/>
        <c:axId val="507317864"/>
      </c:scatterChart>
      <c:valAx>
        <c:axId val="507317536"/>
        <c:scaling>
          <c:orientation val="minMax"/>
          <c:max val="35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Unicode MS" panose="020B0604020202020204" pitchFamily="34" charset="-128"/>
                    <a:ea typeface="Arial Unicode MS" panose="020B0604020202020204" pitchFamily="34" charset="-128"/>
                    <a:cs typeface="Arial Unicode MS" panose="020B0604020202020204" pitchFamily="34" charset="-128"/>
                  </a:defRPr>
                </a:pPr>
                <a:r>
                  <a:rPr lang="da-DK"/>
                  <a:t>Årligt</a:t>
                </a:r>
                <a:r>
                  <a:rPr lang="da-DK" baseline="0"/>
                  <a:t> producerede enheder</a:t>
                </a:r>
                <a:endParaRPr lang="da-DK"/>
              </a:p>
            </c:rich>
          </c:tx>
          <c:layout>
            <c:manualLayout>
              <c:xMode val="edge"/>
              <c:yMode val="edge"/>
              <c:x val="0.33754608563125132"/>
              <c:y val="0.896981700816809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Unicode MS" panose="020B0604020202020204" pitchFamily="34" charset="-128"/>
                  <a:ea typeface="Arial Unicode MS" panose="020B0604020202020204" pitchFamily="34" charset="-128"/>
                  <a:cs typeface="Arial Unicode MS" panose="020B0604020202020204" pitchFamily="34" charset="-128"/>
                </a:defRPr>
              </a:pPr>
              <a:endParaRPr lang="da-DK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da-DK"/>
          </a:p>
        </c:txPr>
        <c:crossAx val="507317864"/>
        <c:crosses val="autoZero"/>
        <c:crossBetween val="midCat"/>
      </c:valAx>
      <c:valAx>
        <c:axId val="507317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Unicode MS" panose="020B0604020202020204" pitchFamily="34" charset="-128"/>
                    <a:ea typeface="Arial Unicode MS" panose="020B0604020202020204" pitchFamily="34" charset="-128"/>
                    <a:cs typeface="Arial Unicode MS" panose="020B0604020202020204" pitchFamily="34" charset="-128"/>
                  </a:defRPr>
                </a:pPr>
                <a:r>
                  <a:rPr lang="da-DK"/>
                  <a:t>Minutter/gris</a:t>
                </a:r>
              </a:p>
            </c:rich>
          </c:tx>
          <c:layout>
            <c:manualLayout>
              <c:xMode val="edge"/>
              <c:yMode val="edge"/>
              <c:x val="4.3080644925611457E-2"/>
              <c:y val="8.497084923208128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Unicode MS" panose="020B0604020202020204" pitchFamily="34" charset="-128"/>
                  <a:ea typeface="Arial Unicode MS" panose="020B0604020202020204" pitchFamily="34" charset="-128"/>
                  <a:cs typeface="Arial Unicode MS" panose="020B0604020202020204" pitchFamily="34" charset="-128"/>
                </a:defRPr>
              </a:pPr>
              <a:endParaRPr lang="da-DK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da-DK"/>
          </a:p>
        </c:txPr>
        <c:crossAx val="507317536"/>
        <c:crosses val="autoZero"/>
        <c:crossBetween val="midCat"/>
        <c:majorUnit val="2.5"/>
        <c:minorUnit val="1.25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 Unicode MS" panose="020B0604020202020204" pitchFamily="34" charset="-128"/>
          <a:ea typeface="Arial Unicode MS" panose="020B0604020202020204" pitchFamily="34" charset="-128"/>
          <a:cs typeface="Arial Unicode MS" panose="020B0604020202020204" pitchFamily="34" charset="-128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r>
              <a:rPr lang="da-DK"/>
              <a:t>Arbejdstid per slagtegris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Unicode MS" panose="020B0604020202020204" pitchFamily="34" charset="-128"/>
              <a:ea typeface="Arial Unicode MS" panose="020B0604020202020204" pitchFamily="34" charset="-128"/>
              <a:cs typeface="Arial Unicode MS" panose="020B0604020202020204" pitchFamily="34" charset="-128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1164770341207349"/>
          <c:y val="0.14866799769686909"/>
          <c:w val="0.80640485564304443"/>
          <c:h val="0.6535489901369167"/>
        </c:manualLayout>
      </c:layout>
      <c:scatterChart>
        <c:scatterStyle val="lineMarker"/>
        <c:varyColors val="0"/>
        <c:ser>
          <c:idx val="0"/>
          <c:order val="0"/>
          <c:tx>
            <c:strRef>
              <c:f>'Arbejdstids grise'!$B$441:$D$441</c:f>
              <c:strCache>
                <c:ptCount val="1"/>
                <c:pt idx="0">
                  <c:v>Producerede slagtesvin/år Slagtevægt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'Arbejdstids grise'!$B$443:$B$474</c:f>
              <c:numCache>
                <c:formatCode>#,##0</c:formatCode>
                <c:ptCount val="32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  <c:pt idx="11">
                  <c:v>6500</c:v>
                </c:pt>
                <c:pt idx="12">
                  <c:v>7000</c:v>
                </c:pt>
                <c:pt idx="13">
                  <c:v>7500</c:v>
                </c:pt>
                <c:pt idx="14">
                  <c:v>8000</c:v>
                </c:pt>
                <c:pt idx="15">
                  <c:v>8500</c:v>
                </c:pt>
                <c:pt idx="16">
                  <c:v>9000</c:v>
                </c:pt>
                <c:pt idx="17">
                  <c:v>9500</c:v>
                </c:pt>
                <c:pt idx="18">
                  <c:v>10000</c:v>
                </c:pt>
                <c:pt idx="19">
                  <c:v>11000</c:v>
                </c:pt>
                <c:pt idx="20">
                  <c:v>12000</c:v>
                </c:pt>
                <c:pt idx="21">
                  <c:v>13000</c:v>
                </c:pt>
                <c:pt idx="22">
                  <c:v>14000</c:v>
                </c:pt>
                <c:pt idx="23">
                  <c:v>15000</c:v>
                </c:pt>
                <c:pt idx="24">
                  <c:v>16000</c:v>
                </c:pt>
                <c:pt idx="25">
                  <c:v>17000</c:v>
                </c:pt>
                <c:pt idx="26">
                  <c:v>18000</c:v>
                </c:pt>
                <c:pt idx="27">
                  <c:v>19000</c:v>
                </c:pt>
                <c:pt idx="28">
                  <c:v>20000</c:v>
                </c:pt>
                <c:pt idx="29">
                  <c:v>21000</c:v>
                </c:pt>
                <c:pt idx="30">
                  <c:v>22000</c:v>
                </c:pt>
                <c:pt idx="31">
                  <c:v>23000</c:v>
                </c:pt>
              </c:numCache>
            </c:numRef>
          </c:xVal>
          <c:yVal>
            <c:numRef>
              <c:f>'Arbejdstids grise'!$C$443:$C$474</c:f>
              <c:numCache>
                <c:formatCode>#,##0.00</c:formatCode>
                <c:ptCount val="32"/>
                <c:pt idx="0">
                  <c:v>20.742927178119814</c:v>
                </c:pt>
                <c:pt idx="1">
                  <c:v>17.00959384478648</c:v>
                </c:pt>
                <c:pt idx="2">
                  <c:v>15.142927178119812</c:v>
                </c:pt>
                <c:pt idx="3">
                  <c:v>14.022927178119813</c:v>
                </c:pt>
                <c:pt idx="4">
                  <c:v>13.276260511453145</c:v>
                </c:pt>
                <c:pt idx="5">
                  <c:v>12.742927178119814</c:v>
                </c:pt>
                <c:pt idx="6">
                  <c:v>12.342927178119812</c:v>
                </c:pt>
                <c:pt idx="7">
                  <c:v>12.031816067008702</c:v>
                </c:pt>
                <c:pt idx="8">
                  <c:v>11.782927178119813</c:v>
                </c:pt>
                <c:pt idx="9">
                  <c:v>11.579290814483448</c:v>
                </c:pt>
                <c:pt idx="10">
                  <c:v>11.40959384478648</c:v>
                </c:pt>
                <c:pt idx="11">
                  <c:v>11.266004101196737</c:v>
                </c:pt>
                <c:pt idx="12">
                  <c:v>11.142927178119812</c:v>
                </c:pt>
                <c:pt idx="13">
                  <c:v>11.036260511453147</c:v>
                </c:pt>
                <c:pt idx="14">
                  <c:v>10.942927178119813</c:v>
                </c:pt>
                <c:pt idx="15">
                  <c:v>10.860574236943343</c:v>
                </c:pt>
                <c:pt idx="16">
                  <c:v>10.787371622564256</c:v>
                </c:pt>
                <c:pt idx="17">
                  <c:v>10.721874546540866</c:v>
                </c:pt>
                <c:pt idx="18">
                  <c:v>10.662927178119812</c:v>
                </c:pt>
                <c:pt idx="19">
                  <c:v>10.56110899630163</c:v>
                </c:pt>
                <c:pt idx="20">
                  <c:v>10.476260511453146</c:v>
                </c:pt>
                <c:pt idx="21">
                  <c:v>10.404465639658275</c:v>
                </c:pt>
                <c:pt idx="22">
                  <c:v>10.342927178119812</c:v>
                </c:pt>
                <c:pt idx="23">
                  <c:v>10.289593844786479</c:v>
                </c:pt>
                <c:pt idx="24">
                  <c:v>10.242927178119814</c:v>
                </c:pt>
                <c:pt idx="25">
                  <c:v>10.201750707531577</c:v>
                </c:pt>
                <c:pt idx="26">
                  <c:v>10.165149400342035</c:v>
                </c:pt>
                <c:pt idx="27">
                  <c:v>10.132400862330339</c:v>
                </c:pt>
                <c:pt idx="28">
                  <c:v>10.102927178119813</c:v>
                </c:pt>
                <c:pt idx="29">
                  <c:v>10.076260511453146</c:v>
                </c:pt>
                <c:pt idx="30">
                  <c:v>10.052018087210723</c:v>
                </c:pt>
                <c:pt idx="31">
                  <c:v>10.029883699858944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2EA-471F-B14F-1730EDAB0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7317536"/>
        <c:axId val="507317864"/>
      </c:scatterChart>
      <c:valAx>
        <c:axId val="507317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Unicode MS" panose="020B0604020202020204" pitchFamily="34" charset="-128"/>
                    <a:ea typeface="Arial Unicode MS" panose="020B0604020202020204" pitchFamily="34" charset="-128"/>
                    <a:cs typeface="Arial Unicode MS" panose="020B0604020202020204" pitchFamily="34" charset="-128"/>
                  </a:defRPr>
                </a:pPr>
                <a:r>
                  <a:rPr lang="da-DK"/>
                  <a:t>Årligt</a:t>
                </a:r>
                <a:r>
                  <a:rPr lang="da-DK" baseline="0"/>
                  <a:t> producerede enheder</a:t>
                </a:r>
                <a:endParaRPr lang="da-DK"/>
              </a:p>
            </c:rich>
          </c:tx>
          <c:layout>
            <c:manualLayout>
              <c:xMode val="edge"/>
              <c:yMode val="edge"/>
              <c:x val="0.33754608563125132"/>
              <c:y val="0.896981700816809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Unicode MS" panose="020B0604020202020204" pitchFamily="34" charset="-128"/>
                  <a:ea typeface="Arial Unicode MS" panose="020B0604020202020204" pitchFamily="34" charset="-128"/>
                  <a:cs typeface="Arial Unicode MS" panose="020B0604020202020204" pitchFamily="34" charset="-128"/>
                </a:defRPr>
              </a:pPr>
              <a:endParaRPr lang="da-DK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da-DK"/>
          </a:p>
        </c:txPr>
        <c:crossAx val="507317864"/>
        <c:crosses val="autoZero"/>
        <c:crossBetween val="midCat"/>
      </c:valAx>
      <c:valAx>
        <c:axId val="507317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Unicode MS" panose="020B0604020202020204" pitchFamily="34" charset="-128"/>
                    <a:ea typeface="Arial Unicode MS" panose="020B0604020202020204" pitchFamily="34" charset="-128"/>
                    <a:cs typeface="Arial Unicode MS" panose="020B0604020202020204" pitchFamily="34" charset="-128"/>
                  </a:defRPr>
                </a:pPr>
                <a:r>
                  <a:rPr lang="da-DK"/>
                  <a:t>Minutter/gris</a:t>
                </a:r>
              </a:p>
            </c:rich>
          </c:tx>
          <c:layout>
            <c:manualLayout>
              <c:xMode val="edge"/>
              <c:yMode val="edge"/>
              <c:x val="3.8793326075398135E-2"/>
              <c:y val="3.938682878315423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Unicode MS" panose="020B0604020202020204" pitchFamily="34" charset="-128"/>
                  <a:ea typeface="Arial Unicode MS" panose="020B0604020202020204" pitchFamily="34" charset="-128"/>
                  <a:cs typeface="Arial Unicode MS" panose="020B0604020202020204" pitchFamily="34" charset="-128"/>
                </a:defRPr>
              </a:pPr>
              <a:endParaRPr lang="da-DK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da-DK"/>
          </a:p>
        </c:txPr>
        <c:crossAx val="507317536"/>
        <c:crosses val="autoZero"/>
        <c:crossBetween val="midCat"/>
        <c:majorUnit val="2.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 Unicode MS" panose="020B0604020202020204" pitchFamily="34" charset="-128"/>
          <a:ea typeface="Arial Unicode MS" panose="020B0604020202020204" pitchFamily="34" charset="-128"/>
          <a:cs typeface="Arial Unicode MS" panose="020B0604020202020204" pitchFamily="34" charset="-128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r>
              <a:rPr lang="da-DK"/>
              <a:t>Arbejdstid per årsso til og med fravænning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Unicode MS" panose="020B0604020202020204" pitchFamily="34" charset="-128"/>
              <a:ea typeface="Arial Unicode MS" panose="020B0604020202020204" pitchFamily="34" charset="-128"/>
              <a:cs typeface="Arial Unicode MS" panose="020B0604020202020204" pitchFamily="34" charset="-128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10191050091844546"/>
          <c:y val="0.1961147902869757"/>
          <c:w val="0.8402704478984534"/>
          <c:h val="0.58793589543028979"/>
        </c:manualLayout>
      </c:layout>
      <c:scatterChart>
        <c:scatterStyle val="lineMarker"/>
        <c:varyColors val="0"/>
        <c:ser>
          <c:idx val="0"/>
          <c:order val="0"/>
          <c:tx>
            <c:strRef>
              <c:f>'Arbejdstids grise'!$C$355</c:f>
              <c:strCache>
                <c:ptCount val="1"/>
                <c:pt idx="0">
                  <c:v>Søer ved fravænning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'Arbejdstids grise'!$B$356:$B$395</c:f>
              <c:numCache>
                <c:formatCode>General</c:formatCode>
                <c:ptCount val="40"/>
                <c:pt idx="0">
                  <c:v>100</c:v>
                </c:pt>
                <c:pt idx="1">
                  <c:v>150</c:v>
                </c:pt>
                <c:pt idx="2">
                  <c:v>200</c:v>
                </c:pt>
                <c:pt idx="3">
                  <c:v>250</c:v>
                </c:pt>
                <c:pt idx="4">
                  <c:v>300</c:v>
                </c:pt>
                <c:pt idx="5">
                  <c:v>350</c:v>
                </c:pt>
                <c:pt idx="6">
                  <c:v>400</c:v>
                </c:pt>
                <c:pt idx="7">
                  <c:v>450</c:v>
                </c:pt>
                <c:pt idx="8">
                  <c:v>500</c:v>
                </c:pt>
                <c:pt idx="9">
                  <c:v>550</c:v>
                </c:pt>
                <c:pt idx="10">
                  <c:v>600</c:v>
                </c:pt>
                <c:pt idx="11">
                  <c:v>650</c:v>
                </c:pt>
                <c:pt idx="12">
                  <c:v>700</c:v>
                </c:pt>
                <c:pt idx="13">
                  <c:v>750</c:v>
                </c:pt>
                <c:pt idx="14">
                  <c:v>800</c:v>
                </c:pt>
                <c:pt idx="15">
                  <c:v>850</c:v>
                </c:pt>
                <c:pt idx="16">
                  <c:v>900</c:v>
                </c:pt>
                <c:pt idx="17">
                  <c:v>950</c:v>
                </c:pt>
                <c:pt idx="18">
                  <c:v>1000</c:v>
                </c:pt>
                <c:pt idx="19">
                  <c:v>1050</c:v>
                </c:pt>
                <c:pt idx="20">
                  <c:v>1100</c:v>
                </c:pt>
                <c:pt idx="21">
                  <c:v>1150</c:v>
                </c:pt>
                <c:pt idx="22">
                  <c:v>1200</c:v>
                </c:pt>
                <c:pt idx="23">
                  <c:v>1250</c:v>
                </c:pt>
                <c:pt idx="24">
                  <c:v>1300</c:v>
                </c:pt>
                <c:pt idx="25">
                  <c:v>1350</c:v>
                </c:pt>
                <c:pt idx="26">
                  <c:v>1400</c:v>
                </c:pt>
                <c:pt idx="27">
                  <c:v>1450</c:v>
                </c:pt>
                <c:pt idx="28">
                  <c:v>1500</c:v>
                </c:pt>
                <c:pt idx="29">
                  <c:v>1550</c:v>
                </c:pt>
                <c:pt idx="30">
                  <c:v>1600</c:v>
                </c:pt>
                <c:pt idx="31">
                  <c:v>1650</c:v>
                </c:pt>
                <c:pt idx="32">
                  <c:v>1700</c:v>
                </c:pt>
                <c:pt idx="33">
                  <c:v>1750</c:v>
                </c:pt>
                <c:pt idx="34">
                  <c:v>1800</c:v>
                </c:pt>
                <c:pt idx="35">
                  <c:v>1850</c:v>
                </c:pt>
                <c:pt idx="36">
                  <c:v>1900</c:v>
                </c:pt>
                <c:pt idx="37">
                  <c:v>1950</c:v>
                </c:pt>
                <c:pt idx="38">
                  <c:v>2000</c:v>
                </c:pt>
                <c:pt idx="39">
                  <c:v>2400</c:v>
                </c:pt>
              </c:numCache>
            </c:numRef>
          </c:xVal>
          <c:yVal>
            <c:numRef>
              <c:f>'Arbejdstids grise'!$C$356:$C$395</c:f>
              <c:numCache>
                <c:formatCode>0.00</c:formatCode>
                <c:ptCount val="40"/>
                <c:pt idx="0">
                  <c:v>10.003842310909954</c:v>
                </c:pt>
                <c:pt idx="1">
                  <c:v>9.2720487310628439</c:v>
                </c:pt>
                <c:pt idx="2">
                  <c:v>8.9061519411392851</c:v>
                </c:pt>
                <c:pt idx="3">
                  <c:v>8.6866138671851516</c:v>
                </c:pt>
                <c:pt idx="4">
                  <c:v>8.5402551512157281</c:v>
                </c:pt>
                <c:pt idx="5">
                  <c:v>8.4357132112375712</c:v>
                </c:pt>
                <c:pt idx="6">
                  <c:v>8.3573067562539514</c:v>
                </c:pt>
                <c:pt idx="7">
                  <c:v>8.2963239579333585</c:v>
                </c:pt>
                <c:pt idx="8">
                  <c:v>8.2475377192768846</c:v>
                </c:pt>
                <c:pt idx="9">
                  <c:v>8.2076217058306788</c:v>
                </c:pt>
                <c:pt idx="10">
                  <c:v>8.1743583612921729</c:v>
                </c:pt>
                <c:pt idx="11">
                  <c:v>8.146212454374977</c:v>
                </c:pt>
                <c:pt idx="12">
                  <c:v>8.1220873913030935</c:v>
                </c:pt>
                <c:pt idx="13">
                  <c:v>8.1011790033074611</c:v>
                </c:pt>
                <c:pt idx="14">
                  <c:v>8.0828841638112845</c:v>
                </c:pt>
                <c:pt idx="15">
                  <c:v>8.0667416583734788</c:v>
                </c:pt>
                <c:pt idx="16">
                  <c:v>8.0523927646509872</c:v>
                </c:pt>
                <c:pt idx="17">
                  <c:v>8.0395542807940199</c:v>
                </c:pt>
                <c:pt idx="18">
                  <c:v>8.0279996453227511</c:v>
                </c:pt>
                <c:pt idx="19">
                  <c:v>8.0175454513249331</c:v>
                </c:pt>
                <c:pt idx="20">
                  <c:v>8.0080416385996465</c:v>
                </c:pt>
                <c:pt idx="21">
                  <c:v>7.9993642443722131</c:v>
                </c:pt>
                <c:pt idx="22">
                  <c:v>7.9914099663303944</c:v>
                </c:pt>
                <c:pt idx="23">
                  <c:v>7.9840920305319241</c:v>
                </c:pt>
                <c:pt idx="24">
                  <c:v>7.9773370128717964</c:v>
                </c:pt>
                <c:pt idx="25">
                  <c:v>7.9710823668901973</c:v>
                </c:pt>
                <c:pt idx="26">
                  <c:v>7.9652744813358565</c:v>
                </c:pt>
                <c:pt idx="27">
                  <c:v>7.9598671396128458</c:v>
                </c:pt>
                <c:pt idx="28">
                  <c:v>7.9548202873380394</c:v>
                </c:pt>
                <c:pt idx="29">
                  <c:v>7.9500990384358001</c:v>
                </c:pt>
                <c:pt idx="30">
                  <c:v>7.9456728675899511</c:v>
                </c:pt>
                <c:pt idx="31">
                  <c:v>7.9415149495226363</c:v>
                </c:pt>
                <c:pt idx="32">
                  <c:v>7.9376016148710482</c:v>
                </c:pt>
                <c:pt idx="33">
                  <c:v>7.9339118993424069</c:v>
                </c:pt>
                <c:pt idx="34">
                  <c:v>7.9304271680098024</c:v>
                </c:pt>
                <c:pt idx="35">
                  <c:v>7.927130800533015</c:v>
                </c:pt>
                <c:pt idx="36">
                  <c:v>7.9240079260813188</c:v>
                </c:pt>
                <c:pt idx="37">
                  <c:v>7.9210451990374029</c:v>
                </c:pt>
                <c:pt idx="38">
                  <c:v>7.9182306083456835</c:v>
                </c:pt>
                <c:pt idx="39">
                  <c:v>7.899935768849506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62-48DC-B1CB-095D8413A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4255160"/>
        <c:axId val="794260736"/>
      </c:scatterChart>
      <c:valAx>
        <c:axId val="794255160"/>
        <c:scaling>
          <c:orientation val="minMax"/>
          <c:max val="15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Unicode MS" panose="020B0604020202020204" pitchFamily="34" charset="-128"/>
                    <a:ea typeface="Arial Unicode MS" panose="020B0604020202020204" pitchFamily="34" charset="-128"/>
                    <a:cs typeface="Arial Unicode MS" panose="020B0604020202020204" pitchFamily="34" charset="-128"/>
                  </a:defRPr>
                </a:pPr>
                <a:r>
                  <a:rPr lang="da-DK"/>
                  <a:t>Antal</a:t>
                </a:r>
                <a:r>
                  <a:rPr lang="da-DK" baseline="0"/>
                  <a:t> årssøer</a:t>
                </a:r>
                <a:endParaRPr lang="da-DK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Unicode MS" panose="020B0604020202020204" pitchFamily="34" charset="-128"/>
                  <a:ea typeface="Arial Unicode MS" panose="020B0604020202020204" pitchFamily="34" charset="-128"/>
                  <a:cs typeface="Arial Unicode MS" panose="020B0604020202020204" pitchFamily="34" charset="-128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da-DK"/>
          </a:p>
        </c:txPr>
        <c:crossAx val="794260736"/>
        <c:crosses val="autoZero"/>
        <c:crossBetween val="midCat"/>
        <c:majorUnit val="100"/>
        <c:minorUnit val="50"/>
      </c:valAx>
      <c:valAx>
        <c:axId val="79426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Unicode MS" panose="020B0604020202020204" pitchFamily="34" charset="-128"/>
                    <a:ea typeface="Arial Unicode MS" panose="020B0604020202020204" pitchFamily="34" charset="-128"/>
                    <a:cs typeface="Arial Unicode MS" panose="020B0604020202020204" pitchFamily="34" charset="-128"/>
                  </a:defRPr>
                </a:pPr>
                <a:r>
                  <a:rPr lang="da-DK"/>
                  <a:t>Timer</a:t>
                </a:r>
                <a:r>
                  <a:rPr lang="da-DK" baseline="0"/>
                  <a:t> årsso</a:t>
                </a:r>
                <a:endParaRPr lang="da-DK"/>
              </a:p>
            </c:rich>
          </c:tx>
          <c:layout>
            <c:manualLayout>
              <c:xMode val="edge"/>
              <c:yMode val="edge"/>
              <c:x val="4.8371125101567214E-2"/>
              <c:y val="6.801065897297189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Unicode MS" panose="020B0604020202020204" pitchFamily="34" charset="-128"/>
                  <a:ea typeface="Arial Unicode MS" panose="020B0604020202020204" pitchFamily="34" charset="-128"/>
                  <a:cs typeface="Arial Unicode MS" panose="020B0604020202020204" pitchFamily="34" charset="-128"/>
                </a:defRPr>
              </a:pPr>
              <a:endParaRPr lang="da-D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da-DK"/>
          </a:p>
        </c:txPr>
        <c:crossAx val="794255160"/>
        <c:crosses val="autoZero"/>
        <c:crossBetween val="midCat"/>
        <c:majorUnit val="5"/>
        <c:min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Unicode MS" panose="020B0604020202020204" pitchFamily="34" charset="-128"/>
              <a:ea typeface="Arial Unicode MS" panose="020B0604020202020204" pitchFamily="34" charset="-128"/>
              <a:cs typeface="Arial Unicode MS" panose="020B0604020202020204" pitchFamily="34" charset="-128"/>
            </a:defRPr>
          </a:pPr>
          <a:endParaRPr lang="da-DK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 Unicode MS" panose="020B0604020202020204" pitchFamily="34" charset="-128"/>
          <a:ea typeface="Arial Unicode MS" panose="020B0604020202020204" pitchFamily="34" charset="-128"/>
          <a:cs typeface="Arial Unicode MS" panose="020B0604020202020204" pitchFamily="34" charset="-128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26</xdr:row>
      <xdr:rowOff>76200</xdr:rowOff>
    </xdr:from>
    <xdr:to>
      <xdr:col>12</xdr:col>
      <xdr:colOff>447675</xdr:colOff>
      <xdr:row>50</xdr:row>
      <xdr:rowOff>19051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BD16B16-20A8-4DDF-9E26-BE8AAA1319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53</xdr:row>
      <xdr:rowOff>1</xdr:rowOff>
    </xdr:from>
    <xdr:to>
      <xdr:col>12</xdr:col>
      <xdr:colOff>352425</xdr:colOff>
      <xdr:row>73</xdr:row>
      <xdr:rowOff>152401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9B7FFE98-BA66-4457-891D-360EA56313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77</xdr:row>
      <xdr:rowOff>0</xdr:rowOff>
    </xdr:from>
    <xdr:to>
      <xdr:col>12</xdr:col>
      <xdr:colOff>438150</xdr:colOff>
      <xdr:row>97</xdr:row>
      <xdr:rowOff>104775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296C7266-5FA5-4880-875A-7EA5F250A1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57150</xdr:colOff>
      <xdr:row>0</xdr:row>
      <xdr:rowOff>114300</xdr:rowOff>
    </xdr:from>
    <xdr:to>
      <xdr:col>12</xdr:col>
      <xdr:colOff>504825</xdr:colOff>
      <xdr:row>24</xdr:row>
      <xdr:rowOff>57151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A3958AB8-93A2-4277-BD2C-31B884EE4B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gc@seges.dk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514"/>
  <sheetViews>
    <sheetView tabSelected="1" topLeftCell="B1" workbookViewId="0">
      <pane ySplit="6" topLeftCell="A7" activePane="bottomLeft" state="frozen"/>
      <selection pane="bottomLeft" activeCell="B25" sqref="B25"/>
    </sheetView>
  </sheetViews>
  <sheetFormatPr defaultRowHeight="12.75" x14ac:dyDescent="0.2"/>
  <cols>
    <col min="1" max="1" width="0" style="2" hidden="1" customWidth="1"/>
    <col min="2" max="2" width="42.85546875" style="2" customWidth="1"/>
    <col min="3" max="3" width="41.140625" style="2" bestFit="1" customWidth="1"/>
    <col min="4" max="7" width="14.7109375" style="2" customWidth="1"/>
    <col min="8" max="8" width="8.5703125" style="36" customWidth="1"/>
    <col min="9" max="9" width="11.28515625" style="2" customWidth="1"/>
    <col min="10" max="10" width="10.140625" style="2" customWidth="1"/>
    <col min="11" max="11" width="6" style="2" customWidth="1"/>
    <col min="12" max="12" width="9.140625" style="2"/>
    <col min="13" max="13" width="21.5703125" style="2" bestFit="1" customWidth="1"/>
    <col min="14" max="14" width="5" style="2" customWidth="1"/>
    <col min="15" max="15" width="2.5703125" style="2" customWidth="1"/>
    <col min="16" max="16384" width="9.140625" style="2"/>
  </cols>
  <sheetData>
    <row r="1" spans="2:7" ht="20.25" thickBot="1" x14ac:dyDescent="0.35">
      <c r="B1" s="31" t="s">
        <v>73</v>
      </c>
      <c r="C1" s="31"/>
      <c r="D1" s="31" t="s">
        <v>63</v>
      </c>
      <c r="E1" s="31"/>
      <c r="F1" s="31"/>
      <c r="G1" s="31"/>
    </row>
    <row r="2" spans="2:7" ht="21" thickTop="1" thickBot="1" x14ac:dyDescent="0.35">
      <c r="B2" s="31" t="s">
        <v>72</v>
      </c>
      <c r="C2" s="1" t="s">
        <v>145</v>
      </c>
      <c r="D2" s="176"/>
      <c r="E2" s="176"/>
      <c r="F2" s="176"/>
      <c r="G2" s="176"/>
    </row>
    <row r="3" spans="2:7" ht="13.5" thickTop="1" x14ac:dyDescent="0.2">
      <c r="B3" s="40" t="s">
        <v>64</v>
      </c>
      <c r="C3" s="40" t="s">
        <v>70</v>
      </c>
      <c r="D3" s="2" t="s">
        <v>75</v>
      </c>
      <c r="E3" s="40" t="s">
        <v>74</v>
      </c>
      <c r="F3" s="2" t="s">
        <v>69</v>
      </c>
      <c r="G3" s="35">
        <f ca="1">NOW()</f>
        <v>43453.565693865741</v>
      </c>
    </row>
    <row r="4" spans="2:7" x14ac:dyDescent="0.2">
      <c r="B4" s="40" t="s">
        <v>71</v>
      </c>
      <c r="C4" s="40" t="s">
        <v>62</v>
      </c>
      <c r="D4" s="7" t="s">
        <v>65</v>
      </c>
      <c r="E4" t="s">
        <v>86</v>
      </c>
      <c r="F4"/>
      <c r="G4"/>
    </row>
    <row r="5" spans="2:7" x14ac:dyDescent="0.2">
      <c r="B5" s="40" t="s">
        <v>60</v>
      </c>
      <c r="C5" s="40" t="s">
        <v>199</v>
      </c>
      <c r="D5" s="177" t="s">
        <v>143</v>
      </c>
      <c r="E5" s="177"/>
      <c r="F5" s="182" t="s">
        <v>144</v>
      </c>
      <c r="G5" s="182"/>
    </row>
    <row r="6" spans="2:7" x14ac:dyDescent="0.2">
      <c r="B6" s="40" t="s">
        <v>61</v>
      </c>
      <c r="C6" s="40" t="s">
        <v>200</v>
      </c>
      <c r="D6" s="178"/>
      <c r="E6" s="178"/>
      <c r="F6" s="183"/>
      <c r="G6" s="183"/>
    </row>
    <row r="7" spans="2:7" x14ac:dyDescent="0.2">
      <c r="B7" s="40"/>
      <c r="C7" s="40"/>
      <c r="D7"/>
      <c r="E7"/>
      <c r="F7"/>
      <c r="G7"/>
    </row>
    <row r="8" spans="2:7" x14ac:dyDescent="0.2">
      <c r="B8" s="40"/>
      <c r="C8" s="40"/>
      <c r="D8"/>
      <c r="E8"/>
      <c r="F8"/>
      <c r="G8"/>
    </row>
    <row r="9" spans="2:7" x14ac:dyDescent="0.2">
      <c r="B9" s="40"/>
      <c r="C9" s="40"/>
      <c r="D9"/>
      <c r="E9"/>
      <c r="F9"/>
      <c r="G9"/>
    </row>
    <row r="10" spans="2:7" x14ac:dyDescent="0.2">
      <c r="E10"/>
      <c r="F10"/>
      <c r="G10"/>
    </row>
    <row r="15" spans="2:7" ht="20.25" thickBot="1" x14ac:dyDescent="0.35">
      <c r="B15" s="31" t="s">
        <v>56</v>
      </c>
      <c r="C15" s="31"/>
      <c r="D15" s="31"/>
      <c r="E15" s="31"/>
      <c r="F15" s="31"/>
      <c r="G15" s="31"/>
    </row>
    <row r="16" spans="2:7" ht="13.5" thickTop="1" x14ac:dyDescent="0.2">
      <c r="B16"/>
      <c r="C16"/>
      <c r="D16"/>
      <c r="E16"/>
      <c r="F16"/>
      <c r="G16"/>
    </row>
    <row r="17" spans="2:7" ht="25.5" x14ac:dyDescent="0.2">
      <c r="B17"/>
      <c r="C17"/>
      <c r="F17" s="33" t="s">
        <v>83</v>
      </c>
      <c r="G17" s="33" t="s">
        <v>178</v>
      </c>
    </row>
    <row r="18" spans="2:7" x14ac:dyDescent="0.2">
      <c r="B18" s="2" t="s">
        <v>55</v>
      </c>
      <c r="C18" s="17">
        <v>800</v>
      </c>
      <c r="F18" s="2">
        <f>G144</f>
        <v>8.0828841638112845</v>
      </c>
      <c r="G18" s="2">
        <f>F18+(F201*C20)/60/C18</f>
        <v>10.929155196829095</v>
      </c>
    </row>
    <row r="19" spans="2:7" ht="25.5" x14ac:dyDescent="0.2">
      <c r="B19" s="2" t="s">
        <v>208</v>
      </c>
      <c r="C19" s="3">
        <f>C18*C91</f>
        <v>27037.46265226385</v>
      </c>
      <c r="D19" s="33" t="s">
        <v>66</v>
      </c>
      <c r="E19" s="33" t="s">
        <v>67</v>
      </c>
      <c r="F19" s="33" t="s">
        <v>84</v>
      </c>
      <c r="G19" s="33" t="s">
        <v>0</v>
      </c>
    </row>
    <row r="20" spans="2:7" x14ac:dyDescent="0.2">
      <c r="B20" s="2" t="s">
        <v>209</v>
      </c>
      <c r="C20" s="170">
        <f>C19*(1-C152/2)</f>
        <v>26658.938175132156</v>
      </c>
      <c r="D20" s="32">
        <v>7</v>
      </c>
      <c r="E20" s="32">
        <v>30</v>
      </c>
      <c r="F20" s="2">
        <f>F201</f>
        <v>5.1247731131428544</v>
      </c>
    </row>
    <row r="21" spans="2:7" ht="25.5" x14ac:dyDescent="0.2">
      <c r="C21"/>
      <c r="D21" t="s">
        <v>66</v>
      </c>
      <c r="E21" t="s">
        <v>68</v>
      </c>
      <c r="F21" s="33" t="s">
        <v>85</v>
      </c>
      <c r="G21" s="33" t="s">
        <v>0</v>
      </c>
    </row>
    <row r="22" spans="2:7" x14ac:dyDescent="0.2">
      <c r="B22" s="2" t="s">
        <v>57</v>
      </c>
      <c r="C22" s="17">
        <v>10000</v>
      </c>
      <c r="D22" s="32">
        <v>30</v>
      </c>
      <c r="E22" s="32">
        <v>86</v>
      </c>
      <c r="F22" s="2">
        <f>F282</f>
        <v>10.662927178119812</v>
      </c>
    </row>
    <row r="24" spans="2:7" ht="20.25" thickBot="1" x14ac:dyDescent="0.35">
      <c r="B24" s="31" t="s">
        <v>173</v>
      </c>
      <c r="C24" s="31"/>
      <c r="D24" s="31"/>
      <c r="E24" s="31"/>
      <c r="F24" s="149">
        <f>C18*F18+(C20*F20+C22*F22)/60</f>
        <v>10520.478687149911</v>
      </c>
    </row>
    <row r="25" spans="2:7" ht="21" thickTop="1" thickBot="1" x14ac:dyDescent="0.35">
      <c r="B25" s="31" t="s">
        <v>172</v>
      </c>
      <c r="C25" s="31"/>
      <c r="D25" s="31"/>
      <c r="E25" s="31"/>
      <c r="F25" s="31">
        <f>F24/Årsværk</f>
        <v>6.6124944608107548</v>
      </c>
    </row>
    <row r="26" spans="2:7" ht="13.5" thickTop="1" x14ac:dyDescent="0.2"/>
    <row r="27" spans="2:7" x14ac:dyDescent="0.2">
      <c r="B27" s="2" t="s">
        <v>0</v>
      </c>
      <c r="C27"/>
      <c r="D27"/>
      <c r="E27"/>
    </row>
    <row r="28" spans="2:7" x14ac:dyDescent="0.2">
      <c r="B28"/>
      <c r="C28"/>
      <c r="D28"/>
      <c r="E28" t="s">
        <v>0</v>
      </c>
    </row>
    <row r="29" spans="2:7" x14ac:dyDescent="0.2">
      <c r="B29"/>
      <c r="C29"/>
      <c r="D29"/>
      <c r="E29"/>
    </row>
    <row r="30" spans="2:7" x14ac:dyDescent="0.2">
      <c r="C30" s="3"/>
    </row>
    <row r="60" spans="1:24" ht="12.75" customHeight="1" x14ac:dyDescent="0.2">
      <c r="A60"/>
      <c r="E60"/>
      <c r="F60"/>
      <c r="G60"/>
      <c r="H60" s="37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ht="12.75" customHeight="1" x14ac:dyDescent="0.2">
      <c r="A61"/>
      <c r="E61"/>
      <c r="F61"/>
      <c r="G61"/>
      <c r="H61" s="37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ht="12.75" customHeight="1" x14ac:dyDescent="0.2">
      <c r="A62"/>
      <c r="E62"/>
      <c r="F62"/>
      <c r="G62"/>
      <c r="H62" s="37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ht="12.75" customHeight="1" x14ac:dyDescent="0.2">
      <c r="A63"/>
      <c r="E63"/>
      <c r="F63"/>
      <c r="G63"/>
      <c r="H63" s="37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ht="20.25" thickBot="1" x14ac:dyDescent="0.35">
      <c r="A64"/>
      <c r="B64" s="31" t="s">
        <v>60</v>
      </c>
      <c r="C64" s="1"/>
      <c r="D64" s="1"/>
      <c r="E64" s="1"/>
      <c r="F64" s="1"/>
      <c r="G64" s="1"/>
      <c r="H64" s="37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ht="13.5" thickTop="1" x14ac:dyDescent="0.2">
      <c r="A65"/>
      <c r="B65" s="2" t="s">
        <v>82</v>
      </c>
      <c r="C65" s="3">
        <f>C18</f>
        <v>800</v>
      </c>
      <c r="D65"/>
      <c r="E65"/>
      <c r="F65"/>
      <c r="G65"/>
      <c r="H65" s="37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x14ac:dyDescent="0.2">
      <c r="A66"/>
      <c r="B66" s="2" t="s">
        <v>77</v>
      </c>
      <c r="C66" s="46">
        <v>121</v>
      </c>
      <c r="D66"/>
      <c r="E66"/>
      <c r="F66"/>
      <c r="G66"/>
      <c r="H66" s="37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x14ac:dyDescent="0.2">
      <c r="A67"/>
      <c r="B67" s="2" t="s">
        <v>76</v>
      </c>
      <c r="C67" s="46">
        <v>4</v>
      </c>
      <c r="D67"/>
      <c r="E67"/>
      <c r="F67"/>
      <c r="G67"/>
      <c r="H67" s="3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x14ac:dyDescent="0.2">
      <c r="A68"/>
      <c r="B68" s="2" t="s">
        <v>78</v>
      </c>
      <c r="C68" s="3">
        <f>(17+C67)*7-C66</f>
        <v>26</v>
      </c>
      <c r="D68"/>
      <c r="E68"/>
      <c r="F68"/>
      <c r="G68"/>
      <c r="H68" s="37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x14ac:dyDescent="0.2">
      <c r="A69"/>
      <c r="B69" s="2" t="s">
        <v>79</v>
      </c>
      <c r="C69" s="46">
        <v>21</v>
      </c>
      <c r="D69"/>
      <c r="E69"/>
      <c r="F69"/>
      <c r="G69"/>
      <c r="H69" s="37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x14ac:dyDescent="0.2">
      <c r="A70"/>
      <c r="B70" s="2" t="s">
        <v>80</v>
      </c>
      <c r="C70" s="74">
        <f>(C66+C68)/C69/7</f>
        <v>1</v>
      </c>
      <c r="D70"/>
      <c r="E70"/>
      <c r="F70"/>
      <c r="G70"/>
      <c r="H70" s="37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x14ac:dyDescent="0.2">
      <c r="A71"/>
      <c r="B71" s="2" t="s">
        <v>38</v>
      </c>
      <c r="C71" s="44">
        <v>0.88</v>
      </c>
      <c r="D71"/>
      <c r="E71"/>
      <c r="F71"/>
      <c r="G71"/>
      <c r="H71" s="37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x14ac:dyDescent="0.2">
      <c r="A72"/>
      <c r="B72" s="2" t="s">
        <v>39</v>
      </c>
      <c r="C72" s="30">
        <v>13</v>
      </c>
      <c r="D72"/>
      <c r="E72"/>
      <c r="F72"/>
      <c r="G72"/>
      <c r="H72" s="37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x14ac:dyDescent="0.2">
      <c r="A73"/>
      <c r="B73" s="2" t="s">
        <v>40</v>
      </c>
      <c r="C73" s="44">
        <v>0.23</v>
      </c>
      <c r="D73"/>
      <c r="E73"/>
      <c r="F73"/>
      <c r="G73"/>
      <c r="H73" s="37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x14ac:dyDescent="0.2">
      <c r="A74"/>
      <c r="B74" s="2" t="s">
        <v>31</v>
      </c>
      <c r="C74" s="30">
        <v>17</v>
      </c>
      <c r="D74" t="s">
        <v>0</v>
      </c>
      <c r="E74" t="s">
        <v>0</v>
      </c>
      <c r="F74" t="s">
        <v>0</v>
      </c>
      <c r="G74"/>
      <c r="H74" s="37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x14ac:dyDescent="0.2">
      <c r="A75"/>
      <c r="B75" s="2" t="s">
        <v>32</v>
      </c>
      <c r="C75" s="45">
        <v>0.13500000000000001</v>
      </c>
      <c r="D75"/>
      <c r="E75"/>
      <c r="F75"/>
      <c r="G75"/>
      <c r="H75" s="37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x14ac:dyDescent="0.2">
      <c r="A76"/>
      <c r="B76" s="2" t="s">
        <v>37</v>
      </c>
      <c r="C76" s="44">
        <v>0.2</v>
      </c>
      <c r="D76"/>
      <c r="E76"/>
      <c r="F76"/>
      <c r="G76"/>
      <c r="H76" s="37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x14ac:dyDescent="0.2">
      <c r="A77"/>
      <c r="B77" s="2" t="s">
        <v>33</v>
      </c>
      <c r="C77" s="30">
        <f>C74*C75*C76</f>
        <v>0.45900000000000002</v>
      </c>
      <c r="D77"/>
      <c r="E77"/>
      <c r="F77"/>
      <c r="G77"/>
      <c r="H77" s="3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 x14ac:dyDescent="0.2">
      <c r="A78"/>
      <c r="B78" s="2" t="s">
        <v>34</v>
      </c>
      <c r="C78" s="30">
        <f>C74-C77</f>
        <v>16.541</v>
      </c>
      <c r="D78"/>
      <c r="E78"/>
      <c r="F78"/>
      <c r="G78"/>
      <c r="H78" s="37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 x14ac:dyDescent="0.2">
      <c r="A79"/>
      <c r="B79" s="2" t="s">
        <v>48</v>
      </c>
      <c r="C79" s="30">
        <v>14</v>
      </c>
      <c r="D79"/>
      <c r="E79"/>
      <c r="F79"/>
      <c r="G79"/>
      <c r="H79" s="37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1:24" x14ac:dyDescent="0.2">
      <c r="A80"/>
      <c r="B80" s="2" t="s">
        <v>30</v>
      </c>
      <c r="C80" s="44">
        <f>(C78/C79)-1</f>
        <v>0.18149999999999999</v>
      </c>
      <c r="D80"/>
      <c r="E80"/>
      <c r="F80"/>
      <c r="G80"/>
      <c r="H80" s="37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24" x14ac:dyDescent="0.2">
      <c r="A81"/>
      <c r="B81" s="2" t="s">
        <v>81</v>
      </c>
      <c r="C81" s="44">
        <v>0.95</v>
      </c>
      <c r="D81" t="s">
        <v>0</v>
      </c>
      <c r="E81"/>
      <c r="F81"/>
      <c r="G81"/>
      <c r="H81" s="37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1:24" x14ac:dyDescent="0.2">
      <c r="A82"/>
      <c r="B82" s="2" t="s">
        <v>109</v>
      </c>
      <c r="C82" s="32">
        <v>70</v>
      </c>
      <c r="D82"/>
      <c r="E82"/>
      <c r="F82"/>
      <c r="G82"/>
      <c r="H82" s="37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1:24" x14ac:dyDescent="0.2">
      <c r="A83"/>
      <c r="B83" s="2" t="s">
        <v>97</v>
      </c>
      <c r="C83" s="17">
        <v>1500</v>
      </c>
      <c r="D83" t="s">
        <v>118</v>
      </c>
      <c r="E83" t="s">
        <v>0</v>
      </c>
      <c r="F83"/>
      <c r="G83"/>
      <c r="H83" s="37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4" x14ac:dyDescent="0.2">
      <c r="A84"/>
      <c r="B84" s="2" t="s">
        <v>99</v>
      </c>
      <c r="C84" s="30">
        <f>0.4*1.04</f>
        <v>0.41600000000000004</v>
      </c>
      <c r="D84" t="s">
        <v>100</v>
      </c>
      <c r="E84"/>
      <c r="F84"/>
      <c r="G84"/>
      <c r="H84" s="37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1:24" x14ac:dyDescent="0.2">
      <c r="A85"/>
      <c r="B85" s="2" t="s">
        <v>98</v>
      </c>
      <c r="C85" s="44">
        <v>1</v>
      </c>
      <c r="D85"/>
      <c r="E85"/>
      <c r="F85"/>
      <c r="G85"/>
      <c r="H85" s="37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4" x14ac:dyDescent="0.2">
      <c r="A86"/>
      <c r="B86" s="2" t="s">
        <v>95</v>
      </c>
      <c r="C86" s="16">
        <v>80</v>
      </c>
      <c r="D86" t="s">
        <v>101</v>
      </c>
      <c r="E86"/>
      <c r="F86"/>
      <c r="G86"/>
      <c r="H86" s="37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1:24" x14ac:dyDescent="0.2">
      <c r="A87"/>
      <c r="C87"/>
      <c r="D87"/>
      <c r="E87"/>
      <c r="F87"/>
      <c r="G87"/>
      <c r="H87" s="3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1:24" x14ac:dyDescent="0.2">
      <c r="A88"/>
      <c r="B88" s="2" t="s">
        <v>36</v>
      </c>
      <c r="C88" s="2">
        <f>C74*(1-C75)</f>
        <v>14.705</v>
      </c>
      <c r="D88"/>
      <c r="E88"/>
      <c r="F88"/>
      <c r="G88"/>
      <c r="H88" s="37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1:24" x14ac:dyDescent="0.2">
      <c r="A89"/>
      <c r="B89" s="2" t="s">
        <v>35</v>
      </c>
      <c r="C89" s="2">
        <f>1*C68+(C80*(C68-5))</f>
        <v>29.811499999999999</v>
      </c>
      <c r="D89"/>
      <c r="E89"/>
      <c r="F89"/>
      <c r="G89"/>
      <c r="H89" s="37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1:24" x14ac:dyDescent="0.2">
      <c r="A90"/>
      <c r="B90" s="2" t="s">
        <v>1</v>
      </c>
      <c r="C90" s="2">
        <f>365/(116+C89+C72)</f>
        <v>2.2983222247759136</v>
      </c>
      <c r="D90"/>
      <c r="E90"/>
      <c r="F90"/>
      <c r="G90"/>
      <c r="H90" s="37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1:24" x14ac:dyDescent="0.2">
      <c r="A91"/>
      <c r="B91" s="123" t="s">
        <v>44</v>
      </c>
      <c r="C91" s="123">
        <f>C90*C88</f>
        <v>33.796828315329812</v>
      </c>
      <c r="D91"/>
      <c r="E91"/>
      <c r="F91"/>
      <c r="G91"/>
      <c r="H91" s="37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1:24" x14ac:dyDescent="0.2">
      <c r="A92"/>
      <c r="B92" s="2" t="s">
        <v>117</v>
      </c>
      <c r="C92" s="2">
        <f>C18*C90/(365/(C70*7))</f>
        <v>35.261930023959223</v>
      </c>
      <c r="D92"/>
      <c r="E92"/>
      <c r="F92"/>
      <c r="G92"/>
      <c r="H92" s="37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1:24" x14ac:dyDescent="0.2">
      <c r="A93"/>
      <c r="B93" s="2" t="s">
        <v>87</v>
      </c>
      <c r="D93"/>
      <c r="E93"/>
      <c r="F93"/>
      <c r="G93"/>
      <c r="H93" s="37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1:24" x14ac:dyDescent="0.2">
      <c r="A94"/>
      <c r="B94" s="2" t="s">
        <v>41</v>
      </c>
      <c r="C94" s="9">
        <f>C73*C90</f>
        <v>0.52861411169846018</v>
      </c>
      <c r="D94" t="s">
        <v>0</v>
      </c>
      <c r="E94"/>
      <c r="F94"/>
      <c r="G94"/>
      <c r="H94" s="37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1:24" x14ac:dyDescent="0.2">
      <c r="A95"/>
      <c r="B95" s="2" t="s">
        <v>88</v>
      </c>
      <c r="C95" s="10">
        <f>C94*C18/C81</f>
        <v>445.14872564080855</v>
      </c>
      <c r="D95"/>
      <c r="E95"/>
      <c r="F95"/>
      <c r="G95"/>
      <c r="H95" s="37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1:24" x14ac:dyDescent="0.2">
      <c r="A96"/>
      <c r="B96" s="2" t="s">
        <v>113</v>
      </c>
      <c r="C96" s="3">
        <f>(C82/365)*C95</f>
        <v>85.370988479059164</v>
      </c>
      <c r="D96"/>
      <c r="E96"/>
      <c r="F96"/>
      <c r="G96"/>
      <c r="H96" s="37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1:24" x14ac:dyDescent="0.2">
      <c r="A97"/>
      <c r="D97"/>
      <c r="E97"/>
      <c r="F97"/>
      <c r="G97"/>
      <c r="H97" s="3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1:24" x14ac:dyDescent="0.2">
      <c r="A98"/>
      <c r="B98" s="2" t="s">
        <v>58</v>
      </c>
      <c r="C98" s="2">
        <f>C18*G144/365</f>
        <v>17.715910496024733</v>
      </c>
      <c r="D98"/>
      <c r="E98"/>
      <c r="F98"/>
      <c r="G98"/>
      <c r="H98" s="37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1:24" x14ac:dyDescent="0.2">
      <c r="A99"/>
      <c r="B99" s="2" t="s">
        <v>103</v>
      </c>
      <c r="C99" s="2">
        <f>(C98/Dagsværk_1_person)+C100</f>
        <v>2.3621213994699644</v>
      </c>
      <c r="D99"/>
      <c r="E99"/>
      <c r="F99"/>
      <c r="G99"/>
      <c r="H99" s="37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1:24" x14ac:dyDescent="0.2">
      <c r="A100"/>
      <c r="B100" s="2" t="s">
        <v>90</v>
      </c>
      <c r="C100" s="32">
        <v>0</v>
      </c>
      <c r="D100"/>
      <c r="E100"/>
      <c r="F100"/>
      <c r="G100"/>
      <c r="H100" s="37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1:24" ht="20.25" thickBot="1" x14ac:dyDescent="0.35">
      <c r="A101"/>
      <c r="B101" s="31" t="s">
        <v>61</v>
      </c>
      <c r="C101" s="31"/>
      <c r="D101" s="1"/>
      <c r="E101" s="1"/>
      <c r="F101" s="1"/>
      <c r="G101" s="1"/>
      <c r="H101" s="37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1:24" ht="14.25" thickTop="1" thickBot="1" x14ac:dyDescent="0.25">
      <c r="A102"/>
      <c r="B102"/>
      <c r="C102"/>
      <c r="D102"/>
      <c r="E102"/>
      <c r="F102"/>
      <c r="G102"/>
      <c r="H102" s="37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1:24" ht="35.1" customHeight="1" thickBot="1" x14ac:dyDescent="0.25">
      <c r="A103"/>
      <c r="B103" s="29" t="s">
        <v>54</v>
      </c>
      <c r="C103" s="151" t="s">
        <v>51</v>
      </c>
      <c r="D103" s="152" t="s">
        <v>96</v>
      </c>
      <c r="E103" s="152" t="s">
        <v>102</v>
      </c>
      <c r="F103" s="152" t="s">
        <v>104</v>
      </c>
      <c r="G103" s="154" t="s">
        <v>107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1:24" x14ac:dyDescent="0.2">
      <c r="A104"/>
      <c r="B104" s="184" t="s">
        <v>51</v>
      </c>
      <c r="C104" s="53" t="s">
        <v>188</v>
      </c>
      <c r="D104" s="53"/>
      <c r="E104" s="53"/>
      <c r="F104" s="53"/>
      <c r="G104" s="53">
        <f>60*C86/C65</f>
        <v>6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1:24" x14ac:dyDescent="0.2">
      <c r="A105"/>
      <c r="B105" s="185"/>
      <c r="C105" s="57" t="s">
        <v>190</v>
      </c>
      <c r="D105" s="57"/>
      <c r="E105" s="57"/>
      <c r="F105" s="57"/>
      <c r="G105" s="155">
        <f>60*0.05</f>
        <v>3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1:24" x14ac:dyDescent="0.2">
      <c r="A106"/>
      <c r="B106" s="185"/>
      <c r="C106" s="57" t="s">
        <v>89</v>
      </c>
      <c r="D106" s="54">
        <f>((3/C71)+4+3*(1+C80))*C90</f>
        <v>25.174881427467042</v>
      </c>
      <c r="E106" s="57"/>
      <c r="F106" s="55">
        <v>0.5</v>
      </c>
      <c r="G106" s="156">
        <f>D106*F106</f>
        <v>12.587440713733521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1:24" x14ac:dyDescent="0.2">
      <c r="A107"/>
      <c r="B107" s="185"/>
      <c r="C107" s="57" t="s">
        <v>105</v>
      </c>
      <c r="D107" s="57"/>
      <c r="E107" s="57"/>
      <c r="F107" s="57"/>
      <c r="G107" s="157">
        <f>52*30/200</f>
        <v>7.8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1:24" x14ac:dyDescent="0.2">
      <c r="A108"/>
      <c r="B108" s="185"/>
      <c r="C108" s="68" t="s">
        <v>132</v>
      </c>
      <c r="D108" s="57"/>
      <c r="E108" s="57"/>
      <c r="F108" s="57"/>
      <c r="G108" s="157">
        <f>(0.09+0.05)*60</f>
        <v>8.4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1:24" x14ac:dyDescent="0.2">
      <c r="A109"/>
      <c r="B109" s="185"/>
      <c r="C109" s="68" t="s">
        <v>189</v>
      </c>
      <c r="D109" s="55">
        <v>4</v>
      </c>
      <c r="E109" s="57"/>
      <c r="F109" s="96">
        <f>2.2*Vaske_tid_pr._kvm_stiareal*C65*0.75</f>
        <v>2310.0000000000005</v>
      </c>
      <c r="G109" s="122">
        <f>D109*F109/C65</f>
        <v>11.550000000000002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1:24" x14ac:dyDescent="0.2">
      <c r="A110"/>
      <c r="B110" s="185"/>
      <c r="C110" s="57" t="s">
        <v>133</v>
      </c>
      <c r="D110" s="148"/>
      <c r="E110" s="148"/>
      <c r="F110" s="148"/>
      <c r="G110" s="54">
        <f>C84*C85*C83/1000</f>
        <v>0.624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1:24" x14ac:dyDescent="0.2">
      <c r="A111"/>
      <c r="B111" s="185"/>
      <c r="C111" s="68" t="s">
        <v>136</v>
      </c>
      <c r="D111" s="55">
        <v>0</v>
      </c>
      <c r="E111"/>
      <c r="F111" s="169">
        <f>IF(D111&gt;0,(1+C80)*C90*C65*0.12*60/365,0)</f>
        <v>0</v>
      </c>
      <c r="G111" s="54">
        <f>IF(D111&gt;0,((F111*D111)+(E111*D111))/C65,0)</f>
        <v>0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1:24" x14ac:dyDescent="0.2">
      <c r="A112"/>
      <c r="B112" s="186"/>
      <c r="C112" s="68" t="s">
        <v>124</v>
      </c>
      <c r="D112" s="57">
        <v>365</v>
      </c>
      <c r="E112" s="57"/>
      <c r="F112" s="69">
        <v>0</v>
      </c>
      <c r="G112" s="54">
        <f>D112*F112/C65</f>
        <v>0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1:24" ht="13.5" thickBot="1" x14ac:dyDescent="0.25">
      <c r="A113"/>
      <c r="B113" s="58"/>
      <c r="C113" s="60" t="s">
        <v>108</v>
      </c>
      <c r="D113" s="60"/>
      <c r="E113" s="60"/>
      <c r="F113" s="60"/>
      <c r="G113" s="158">
        <f>SUM(G104:G112)</f>
        <v>49.961440713733531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1:24" ht="13.5" thickBot="1" x14ac:dyDescent="0.25">
      <c r="A114"/>
      <c r="B114" s="64"/>
      <c r="C114" s="143"/>
      <c r="D114" s="143"/>
      <c r="E114" s="143"/>
      <c r="F114" s="143"/>
      <c r="G114" s="159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1:24" ht="26.25" thickBot="1" x14ac:dyDescent="0.25">
      <c r="A115"/>
      <c r="B115" s="59"/>
      <c r="C115" s="153" t="s">
        <v>134</v>
      </c>
      <c r="D115" s="152" t="s">
        <v>29</v>
      </c>
      <c r="E115" s="152" t="s">
        <v>28</v>
      </c>
      <c r="F115" s="152" t="s">
        <v>49</v>
      </c>
      <c r="G115" s="154" t="s">
        <v>94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1:24" x14ac:dyDescent="0.2">
      <c r="A116"/>
      <c r="B116" s="179"/>
      <c r="C116" s="19" t="s">
        <v>4</v>
      </c>
      <c r="D116" s="25">
        <f>1/C71</f>
        <v>1.1363636363636365</v>
      </c>
      <c r="E116" s="48">
        <v>10</v>
      </c>
      <c r="F116" s="79">
        <v>1</v>
      </c>
      <c r="G116" s="160">
        <f>IF(D116&gt;0,((F116*D116)+(E116/C$92))*C$90,0)</f>
        <v>3.2635155151674344</v>
      </c>
      <c r="I116"/>
      <c r="J116"/>
      <c r="K116"/>
      <c r="L116"/>
      <c r="M116" t="s">
        <v>0</v>
      </c>
      <c r="N116"/>
      <c r="O116"/>
      <c r="P116"/>
      <c r="Q116"/>
      <c r="R116"/>
      <c r="S116"/>
      <c r="T116"/>
      <c r="U116"/>
      <c r="V116"/>
      <c r="W116"/>
      <c r="X116"/>
    </row>
    <row r="117" spans="1:24" x14ac:dyDescent="0.2">
      <c r="A117"/>
      <c r="B117" s="180"/>
      <c r="C117" s="4" t="s">
        <v>5</v>
      </c>
      <c r="D117" s="12">
        <f>2/0.95</f>
        <v>2.1052631578947367</v>
      </c>
      <c r="E117" s="49">
        <v>5</v>
      </c>
      <c r="F117" s="51">
        <v>1.5</v>
      </c>
      <c r="G117" s="54">
        <f t="shared" ref="G117:G132" si="0">IF(D117&gt;0,((F117*D117)+(E117/C$92))*C$90,0)</f>
        <v>7.5837525143299525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1:24" x14ac:dyDescent="0.2">
      <c r="A118"/>
      <c r="B118" s="180"/>
      <c r="C118" s="4" t="s">
        <v>154</v>
      </c>
      <c r="D118" s="12">
        <f>2/C71</f>
        <v>2.2727272727272729</v>
      </c>
      <c r="E118" s="49">
        <v>10</v>
      </c>
      <c r="F118" s="51">
        <v>4</v>
      </c>
      <c r="G118" s="54">
        <f t="shared" si="0"/>
        <v>21.545624121339475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1:24" x14ac:dyDescent="0.2">
      <c r="A119"/>
      <c r="B119" s="180"/>
      <c r="C119" s="4" t="s">
        <v>6</v>
      </c>
      <c r="D119" s="12">
        <f>1/C71</f>
        <v>1.1363636363636365</v>
      </c>
      <c r="E119" s="49">
        <v>20</v>
      </c>
      <c r="F119" s="51">
        <v>1</v>
      </c>
      <c r="G119" s="54">
        <f t="shared" si="0"/>
        <v>3.9153012294531484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1:24" x14ac:dyDescent="0.2">
      <c r="A120"/>
      <c r="B120" s="180"/>
      <c r="C120" s="4" t="s">
        <v>7</v>
      </c>
      <c r="D120" s="12">
        <f>1/C71</f>
        <v>1.1363636363636365</v>
      </c>
      <c r="E120" s="49">
        <v>10</v>
      </c>
      <c r="F120" s="51">
        <v>1</v>
      </c>
      <c r="G120" s="54">
        <f t="shared" si="0"/>
        <v>3.2635155151674344</v>
      </c>
      <c r="I120"/>
      <c r="J120" t="s">
        <v>0</v>
      </c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1:24" x14ac:dyDescent="0.2">
      <c r="A121"/>
      <c r="B121" s="180"/>
      <c r="C121" s="4" t="s">
        <v>12</v>
      </c>
      <c r="D121" s="11">
        <f>C72+116</f>
        <v>129</v>
      </c>
      <c r="E121" s="50">
        <v>10</v>
      </c>
      <c r="F121" s="51">
        <v>0.2</v>
      </c>
      <c r="G121" s="54">
        <f t="shared" si="0"/>
        <v>59.94849911350429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1:24" x14ac:dyDescent="0.2">
      <c r="A122"/>
      <c r="B122" s="180"/>
      <c r="C122" s="4" t="s">
        <v>9</v>
      </c>
      <c r="D122" s="4">
        <v>1</v>
      </c>
      <c r="E122" s="49">
        <v>5</v>
      </c>
      <c r="F122" s="51">
        <v>1</v>
      </c>
      <c r="G122" s="54">
        <f t="shared" si="0"/>
        <v>2.6242150819187708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1:24" x14ac:dyDescent="0.2">
      <c r="A123"/>
      <c r="B123" s="180"/>
      <c r="C123" s="4" t="s">
        <v>10</v>
      </c>
      <c r="D123" s="4">
        <v>1</v>
      </c>
      <c r="E123" s="49">
        <v>5</v>
      </c>
      <c r="F123" s="51">
        <v>1.5</v>
      </c>
      <c r="G123" s="54">
        <f t="shared" si="0"/>
        <v>3.7733761943067274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1:24" x14ac:dyDescent="0.2">
      <c r="A124"/>
      <c r="B124" s="180"/>
      <c r="C124" s="4" t="s">
        <v>11</v>
      </c>
      <c r="D124" s="4">
        <v>1</v>
      </c>
      <c r="E124" s="49">
        <v>20</v>
      </c>
      <c r="F124" s="51">
        <v>1.5</v>
      </c>
      <c r="G124" s="54">
        <f t="shared" si="0"/>
        <v>4.7510547657352991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1:24" ht="13.5" thickBot="1" x14ac:dyDescent="0.25">
      <c r="A125"/>
      <c r="B125" s="181"/>
      <c r="C125" s="26" t="s">
        <v>8</v>
      </c>
      <c r="D125" s="26"/>
      <c r="E125" s="26"/>
      <c r="F125" s="26"/>
      <c r="G125" s="161">
        <f>SUM(G116:G124)</f>
        <v>110.66885405092253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  <row r="126" spans="1:24" ht="13.5" thickBot="1" x14ac:dyDescent="0.25">
      <c r="A126"/>
      <c r="B126" s="121"/>
      <c r="C126" s="147" t="s">
        <v>42</v>
      </c>
      <c r="D126" s="147"/>
      <c r="E126" s="147"/>
      <c r="F126" s="147"/>
      <c r="G126" s="162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</row>
    <row r="127" spans="1:24" x14ac:dyDescent="0.2">
      <c r="A127"/>
      <c r="B127" s="179" t="s">
        <v>42</v>
      </c>
      <c r="C127" s="19" t="s">
        <v>140</v>
      </c>
      <c r="D127" s="19">
        <v>1</v>
      </c>
      <c r="E127" s="19">
        <v>0</v>
      </c>
      <c r="F127" s="48">
        <v>5</v>
      </c>
      <c r="G127" s="54">
        <f t="shared" si="0"/>
        <v>11.491611123879569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</row>
    <row r="128" spans="1:24" x14ac:dyDescent="0.2">
      <c r="A128"/>
      <c r="B128" s="180"/>
      <c r="C128" s="150" t="s">
        <v>191</v>
      </c>
      <c r="D128" s="34">
        <v>1</v>
      </c>
      <c r="E128" s="150"/>
      <c r="F128" s="63">
        <v>3</v>
      </c>
      <c r="G128" s="54">
        <f t="shared" si="0"/>
        <v>6.8949666743277405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</row>
    <row r="129" spans="1:24" x14ac:dyDescent="0.2">
      <c r="A129"/>
      <c r="B129" s="180"/>
      <c r="C129" s="4" t="s">
        <v>135</v>
      </c>
      <c r="D129" s="18">
        <f>C80</f>
        <v>0.18149999999999999</v>
      </c>
      <c r="E129" s="4">
        <v>0</v>
      </c>
      <c r="F129" s="49">
        <v>30</v>
      </c>
      <c r="G129" s="54">
        <f t="shared" si="0"/>
        <v>12.51436451390485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</row>
    <row r="130" spans="1:24" x14ac:dyDescent="0.2">
      <c r="A130"/>
      <c r="B130" s="180"/>
      <c r="C130" s="4" t="s">
        <v>27</v>
      </c>
      <c r="D130" s="12">
        <f>1+D129</f>
        <v>1.1815</v>
      </c>
      <c r="E130" s="49">
        <v>15</v>
      </c>
      <c r="F130" s="49">
        <v>5</v>
      </c>
      <c r="G130" s="54">
        <f t="shared" si="0"/>
        <v>14.555017114292282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</row>
    <row r="131" spans="1:24" x14ac:dyDescent="0.2">
      <c r="A131"/>
      <c r="B131" s="180"/>
      <c r="C131" s="4" t="s">
        <v>93</v>
      </c>
      <c r="D131" s="12">
        <f>1+D129</f>
        <v>1.1815</v>
      </c>
      <c r="E131" s="49">
        <v>15</v>
      </c>
      <c r="F131" s="51">
        <f>(1.7*2.7*Vaske_tid_pr._kvm_stiareal)</f>
        <v>8.0324999999999989</v>
      </c>
      <c r="G131" s="54">
        <f t="shared" si="0"/>
        <v>22.78967294053912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spans="1:24" x14ac:dyDescent="0.2">
      <c r="A132"/>
      <c r="B132" s="180"/>
      <c r="C132" s="4" t="s">
        <v>12</v>
      </c>
      <c r="D132" s="8">
        <f>C89</f>
        <v>29.811499999999999</v>
      </c>
      <c r="E132" s="49">
        <v>10</v>
      </c>
      <c r="F132" s="49">
        <v>1.9</v>
      </c>
      <c r="G132" s="54">
        <f t="shared" si="0"/>
        <v>130.83300842170928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</row>
    <row r="133" spans="1:24" ht="13.5" thickBot="1" x14ac:dyDescent="0.25">
      <c r="A133"/>
      <c r="B133" s="181"/>
      <c r="C133" s="26" t="s">
        <v>8</v>
      </c>
      <c r="D133" s="26"/>
      <c r="E133" s="26"/>
      <c r="F133" s="26"/>
      <c r="G133" s="161">
        <f>SUM(G127:G132)</f>
        <v>199.07864078865285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</row>
    <row r="134" spans="1:24" ht="38.25" x14ac:dyDescent="0.2">
      <c r="A134"/>
      <c r="B134" s="179" t="s">
        <v>111</v>
      </c>
      <c r="C134" s="52" t="s">
        <v>111</v>
      </c>
      <c r="D134" s="24" t="s">
        <v>91</v>
      </c>
      <c r="E134" s="24" t="s">
        <v>28</v>
      </c>
      <c r="F134" s="24" t="s">
        <v>92</v>
      </c>
      <c r="G134" s="163" t="s">
        <v>110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</row>
    <row r="135" spans="1:24" x14ac:dyDescent="0.2">
      <c r="A135"/>
      <c r="B135" s="180"/>
      <c r="C135" s="4" t="s">
        <v>112</v>
      </c>
      <c r="D135" s="8">
        <v>1</v>
      </c>
      <c r="E135" s="49">
        <v>5</v>
      </c>
      <c r="F135" s="47">
        <v>0.5</v>
      </c>
      <c r="G135" s="164">
        <f>IF(D135&gt;0,((F135*D135*C88)+(E135/C$92))*C$90,0)</f>
        <v>17.224307014807763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</row>
    <row r="136" spans="1:24" x14ac:dyDescent="0.2">
      <c r="A136"/>
      <c r="B136" s="180"/>
      <c r="C136" s="4" t="s">
        <v>138</v>
      </c>
      <c r="D136" s="91">
        <v>1</v>
      </c>
      <c r="E136" s="49">
        <v>5</v>
      </c>
      <c r="F136" s="47">
        <v>0.5</v>
      </c>
      <c r="G136" s="164">
        <f>IF(D136&gt;0,((F136*D136*C89)+(E136/C$92))*C$90,0)</f>
        <v>34.584109359096431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</row>
    <row r="137" spans="1:24" x14ac:dyDescent="0.2">
      <c r="A137"/>
      <c r="B137" s="180"/>
      <c r="C137" s="4" t="s">
        <v>119</v>
      </c>
      <c r="D137" s="91">
        <v>1</v>
      </c>
      <c r="E137" s="49">
        <v>5</v>
      </c>
      <c r="F137" s="47">
        <v>0.5</v>
      </c>
      <c r="G137" s="164">
        <f>IF(D137&gt;0,((F137*D137*C90)+(E137/C$92))*C$90,0)</f>
        <v>2.9670353815923098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</row>
    <row r="138" spans="1:24" x14ac:dyDescent="0.2">
      <c r="A138"/>
      <c r="B138" s="180"/>
      <c r="C138" s="4" t="s">
        <v>120</v>
      </c>
      <c r="D138" s="91">
        <v>0.5</v>
      </c>
      <c r="E138" s="49">
        <v>5</v>
      </c>
      <c r="F138" s="47">
        <v>1</v>
      </c>
      <c r="G138" s="164">
        <f>IF(D138&gt;0,((F138*D138*C91)+(E138/C$92))*C$90,0)</f>
        <v>39.163893679172055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</row>
    <row r="139" spans="1:24" ht="13.5" thickBot="1" x14ac:dyDescent="0.25">
      <c r="A139"/>
      <c r="B139" s="181"/>
      <c r="C139" s="26" t="s">
        <v>8</v>
      </c>
      <c r="D139" s="26"/>
      <c r="E139" s="26"/>
      <c r="F139" s="26"/>
      <c r="G139" s="161">
        <f>SUM(G135:G138)</f>
        <v>93.939345434668553</v>
      </c>
      <c r="I139" s="14" t="s">
        <v>0</v>
      </c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</row>
    <row r="140" spans="1:24" ht="26.25" thickBot="1" x14ac:dyDescent="0.25">
      <c r="A140"/>
      <c r="B140" s="64"/>
      <c r="C140" s="65" t="s">
        <v>13</v>
      </c>
      <c r="D140" s="66" t="s">
        <v>115</v>
      </c>
      <c r="E140" s="66" t="s">
        <v>28</v>
      </c>
      <c r="F140" s="66" t="s">
        <v>116</v>
      </c>
      <c r="G140" s="165" t="s">
        <v>110</v>
      </c>
      <c r="I140" s="14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</row>
    <row r="141" spans="1:24" x14ac:dyDescent="0.2">
      <c r="A141"/>
      <c r="B141" s="173" t="s">
        <v>13</v>
      </c>
      <c r="C141" s="61" t="s">
        <v>114</v>
      </c>
      <c r="D141" s="62">
        <f>1/C81</f>
        <v>1.0526315789473684</v>
      </c>
      <c r="E141" s="69">
        <v>5</v>
      </c>
      <c r="F141" s="63">
        <v>2</v>
      </c>
      <c r="G141" s="166">
        <f>(((F141*D141)+(E141/C$92))*C$90)*C$95/C$65</f>
        <v>2.8736943019629568</v>
      </c>
      <c r="I141" s="14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</row>
    <row r="142" spans="1:24" x14ac:dyDescent="0.2">
      <c r="A142"/>
      <c r="B142" s="173"/>
      <c r="C142" s="21" t="s">
        <v>12</v>
      </c>
      <c r="D142" s="11">
        <f>C82/C81</f>
        <v>73.684210526315795</v>
      </c>
      <c r="E142" s="49">
        <v>5</v>
      </c>
      <c r="F142" s="49">
        <v>0.3</v>
      </c>
      <c r="G142" s="164">
        <f>(((F142*D142)+(E142/C$92))*C$90)*C$95/C$65</f>
        <v>28.451074538736602</v>
      </c>
      <c r="I142" s="14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</row>
    <row r="143" spans="1:24" ht="13.5" thickBot="1" x14ac:dyDescent="0.25">
      <c r="A143"/>
      <c r="B143" s="174"/>
      <c r="C143" s="22" t="s">
        <v>106</v>
      </c>
      <c r="D143" s="23"/>
      <c r="E143" s="23"/>
      <c r="F143" s="23"/>
      <c r="G143" s="167">
        <f>SUM(G141:G142)</f>
        <v>31.324768840699559</v>
      </c>
      <c r="I143" s="14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</row>
    <row r="144" spans="1:24" ht="13.5" thickBot="1" x14ac:dyDescent="0.25">
      <c r="A144"/>
      <c r="B144" s="144" t="s">
        <v>0</v>
      </c>
      <c r="C144" s="145" t="s">
        <v>50</v>
      </c>
      <c r="D144" s="145"/>
      <c r="E144" s="145"/>
      <c r="F144" s="146"/>
      <c r="G144" s="168">
        <f>(G113+G125+G133+G139+G143)/60</f>
        <v>8.0828841638112845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</row>
    <row r="145" spans="1:24" x14ac:dyDescent="0.2">
      <c r="A145"/>
      <c r="B145"/>
      <c r="C145"/>
      <c r="D145"/>
      <c r="E145"/>
      <c r="F145"/>
      <c r="G145"/>
      <c r="H145" s="37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 x14ac:dyDescent="0.2">
      <c r="A146"/>
      <c r="B146"/>
      <c r="C146"/>
      <c r="D146"/>
      <c r="E146"/>
      <c r="F146"/>
      <c r="G146"/>
      <c r="H146" s="37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</row>
    <row r="147" spans="1:24" ht="20.25" thickBot="1" x14ac:dyDescent="0.35">
      <c r="A147"/>
      <c r="B147" s="31" t="s">
        <v>70</v>
      </c>
      <c r="C147" s="1"/>
      <c r="D147" s="1"/>
      <c r="E147" s="1"/>
      <c r="F147" s="1"/>
      <c r="G147" s="1"/>
      <c r="H147" s="3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</row>
    <row r="148" spans="1:24" ht="13.5" thickTop="1" x14ac:dyDescent="0.2">
      <c r="A148"/>
      <c r="B148" t="s">
        <v>163</v>
      </c>
      <c r="C148" s="3">
        <f>C20</f>
        <v>26658.938175132156</v>
      </c>
      <c r="D148"/>
      <c r="E148"/>
      <c r="F148"/>
      <c r="G148"/>
      <c r="H148" s="37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</row>
    <row r="149" spans="1:24" x14ac:dyDescent="0.2">
      <c r="A149"/>
      <c r="B149" t="s">
        <v>155</v>
      </c>
      <c r="C149" s="3">
        <f>D20</f>
        <v>7</v>
      </c>
      <c r="D149"/>
      <c r="E149"/>
      <c r="F149"/>
      <c r="G149"/>
      <c r="H149" s="37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</row>
    <row r="150" spans="1:24" x14ac:dyDescent="0.2">
      <c r="A150"/>
      <c r="B150" t="s">
        <v>156</v>
      </c>
      <c r="C150" s="3">
        <f>E20</f>
        <v>30</v>
      </c>
      <c r="D150"/>
      <c r="E150"/>
      <c r="F150"/>
      <c r="G150"/>
      <c r="H150" s="37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</row>
    <row r="151" spans="1:24" x14ac:dyDescent="0.2">
      <c r="A151"/>
      <c r="D151"/>
      <c r="E151"/>
      <c r="F151"/>
      <c r="G151"/>
      <c r="H151" s="37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</row>
    <row r="152" spans="1:24" x14ac:dyDescent="0.2">
      <c r="A152"/>
      <c r="B152" t="s">
        <v>20</v>
      </c>
      <c r="C152" s="67">
        <v>2.8000000000000001E-2</v>
      </c>
      <c r="D152"/>
      <c r="E152"/>
      <c r="F152"/>
      <c r="G152"/>
      <c r="H152" s="37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</row>
    <row r="153" spans="1:24" x14ac:dyDescent="0.2">
      <c r="A153"/>
      <c r="B153" t="s">
        <v>121</v>
      </c>
      <c r="C153" s="17">
        <v>450</v>
      </c>
      <c r="D153"/>
      <c r="E153"/>
      <c r="F153"/>
      <c r="G153"/>
      <c r="H153" s="37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</row>
    <row r="154" spans="1:24" x14ac:dyDescent="0.2">
      <c r="A154"/>
      <c r="B154" t="s">
        <v>152</v>
      </c>
      <c r="C154" s="30">
        <v>1.87</v>
      </c>
      <c r="D154"/>
      <c r="E154"/>
      <c r="F154"/>
      <c r="G154"/>
      <c r="H154" s="37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</row>
    <row r="155" spans="1:24" x14ac:dyDescent="0.2">
      <c r="A155"/>
      <c r="B155" s="2" t="s">
        <v>99</v>
      </c>
      <c r="C155" s="30">
        <v>0.8</v>
      </c>
      <c r="D155" t="s">
        <v>153</v>
      </c>
      <c r="E155"/>
      <c r="F155"/>
      <c r="G155"/>
      <c r="H155" s="37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</row>
    <row r="156" spans="1:24" x14ac:dyDescent="0.2">
      <c r="A156"/>
      <c r="B156" s="2" t="s">
        <v>98</v>
      </c>
      <c r="C156" s="44">
        <v>0</v>
      </c>
      <c r="D156"/>
      <c r="E156"/>
      <c r="F156"/>
      <c r="G156"/>
      <c r="H156" s="37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</row>
    <row r="157" spans="1:24" x14ac:dyDescent="0.2">
      <c r="A157"/>
      <c r="B157" t="s">
        <v>169</v>
      </c>
      <c r="C157" s="14">
        <f>(E20-D20)/(C153/1000)</f>
        <v>51.111111111111107</v>
      </c>
      <c r="D157"/>
      <c r="E157"/>
      <c r="F157"/>
      <c r="G157"/>
      <c r="H157" s="3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</row>
    <row r="158" spans="1:24" x14ac:dyDescent="0.2">
      <c r="A158"/>
      <c r="B158" t="s">
        <v>142</v>
      </c>
      <c r="C158" s="32">
        <f>C70</f>
        <v>1</v>
      </c>
      <c r="D158"/>
      <c r="E158"/>
      <c r="F158"/>
      <c r="G158"/>
      <c r="H158" s="37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</row>
    <row r="159" spans="1:24" x14ac:dyDescent="0.2">
      <c r="A159"/>
      <c r="B159" s="2" t="s">
        <v>141</v>
      </c>
      <c r="C159" s="3">
        <f>C148/(52/C158)</f>
        <v>512.67188798331074</v>
      </c>
      <c r="D159"/>
      <c r="E159"/>
      <c r="F159"/>
      <c r="G159"/>
      <c r="H159" s="37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</row>
    <row r="160" spans="1:24" x14ac:dyDescent="0.2">
      <c r="A160"/>
      <c r="B160" s="2" t="s">
        <v>162</v>
      </c>
      <c r="C160" s="30">
        <v>3</v>
      </c>
      <c r="D160"/>
      <c r="E160"/>
      <c r="F160"/>
      <c r="G160"/>
      <c r="H160" s="37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</row>
    <row r="161" spans="1:24" x14ac:dyDescent="0.2">
      <c r="A161"/>
      <c r="B161" s="2" t="s">
        <v>157</v>
      </c>
      <c r="C161" s="32">
        <v>0.3</v>
      </c>
      <c r="D161"/>
      <c r="E161"/>
      <c r="F161"/>
      <c r="G161"/>
      <c r="H161" s="37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</row>
    <row r="162" spans="1:24" x14ac:dyDescent="0.2">
      <c r="A162"/>
      <c r="B162" s="2" t="s">
        <v>164</v>
      </c>
      <c r="C162" s="80">
        <f>C161*C166</f>
        <v>1185.65323208122</v>
      </c>
      <c r="D162" t="s">
        <v>158</v>
      </c>
      <c r="E162"/>
      <c r="F162"/>
      <c r="G162"/>
      <c r="H162" s="37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</row>
    <row r="163" spans="1:24" x14ac:dyDescent="0.2">
      <c r="A163"/>
      <c r="E163"/>
      <c r="F163"/>
      <c r="G163"/>
      <c r="H163" s="37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</row>
    <row r="164" spans="1:24" x14ac:dyDescent="0.2">
      <c r="A164"/>
      <c r="B164" t="s">
        <v>123</v>
      </c>
      <c r="C164" s="3">
        <f>C148*(1+C152/2)</f>
        <v>27032.163309584008</v>
      </c>
      <c r="D164"/>
      <c r="E164"/>
      <c r="F164"/>
      <c r="G164"/>
      <c r="H164" s="37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</row>
    <row r="165" spans="1:24" x14ac:dyDescent="0.2">
      <c r="A165"/>
      <c r="B165" t="s">
        <v>122</v>
      </c>
      <c r="C165" s="3">
        <f>C148*(1-C152/2)</f>
        <v>26285.713040680304</v>
      </c>
      <c r="D165" s="3" t="s">
        <v>0</v>
      </c>
      <c r="E165"/>
      <c r="F165"/>
      <c r="G165"/>
      <c r="H165" s="37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</row>
    <row r="166" spans="1:24" x14ac:dyDescent="0.2">
      <c r="A166"/>
      <c r="B166" t="s">
        <v>146</v>
      </c>
      <c r="C166" s="3">
        <f>C148*(C160+C157)/365</f>
        <v>3952.1774402707338</v>
      </c>
      <c r="D166"/>
      <c r="E166"/>
      <c r="F166"/>
      <c r="G166"/>
      <c r="H166" s="37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</row>
    <row r="167" spans="1:24" x14ac:dyDescent="0.2">
      <c r="A167"/>
      <c r="B167"/>
      <c r="C167" s="3"/>
      <c r="D167"/>
      <c r="E167"/>
      <c r="F167"/>
      <c r="G167"/>
      <c r="H167" s="3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</row>
    <row r="168" spans="1:24" x14ac:dyDescent="0.2">
      <c r="A168"/>
      <c r="B168"/>
      <c r="C168" s="3"/>
      <c r="D168"/>
      <c r="E168"/>
      <c r="F168"/>
      <c r="G168"/>
      <c r="H168" s="37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</row>
    <row r="169" spans="1:24" x14ac:dyDescent="0.2">
      <c r="A169"/>
      <c r="B169"/>
      <c r="C169" s="3"/>
      <c r="D169"/>
      <c r="E169"/>
      <c r="F169"/>
      <c r="G169"/>
      <c r="H169" s="37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</row>
    <row r="170" spans="1:24" x14ac:dyDescent="0.2">
      <c r="A170"/>
      <c r="B170"/>
      <c r="C170" s="3"/>
      <c r="D170"/>
      <c r="E170"/>
      <c r="F170"/>
      <c r="G170"/>
      <c r="H170" s="37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</row>
    <row r="171" spans="1:24" x14ac:dyDescent="0.2">
      <c r="A171"/>
      <c r="B171"/>
      <c r="C171" s="3"/>
      <c r="D171"/>
      <c r="E171"/>
      <c r="F171"/>
      <c r="G171"/>
      <c r="H171" s="37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</row>
    <row r="172" spans="1:24" x14ac:dyDescent="0.2">
      <c r="A172"/>
      <c r="B172"/>
      <c r="C172" s="3"/>
      <c r="D172"/>
      <c r="E172"/>
      <c r="F172"/>
      <c r="G172"/>
      <c r="H172" s="37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</row>
    <row r="173" spans="1:24" x14ac:dyDescent="0.2">
      <c r="A173"/>
      <c r="B173"/>
      <c r="C173" s="3"/>
      <c r="D173"/>
      <c r="E173"/>
      <c r="F173"/>
      <c r="G173"/>
      <c r="H173" s="37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</row>
    <row r="174" spans="1:24" x14ac:dyDescent="0.2">
      <c r="A174"/>
      <c r="B174"/>
      <c r="C174" s="3"/>
      <c r="D174"/>
      <c r="E174"/>
      <c r="F174"/>
      <c r="G174"/>
      <c r="H174" s="37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</row>
    <row r="175" spans="1:24" x14ac:dyDescent="0.2">
      <c r="A175"/>
      <c r="B175"/>
      <c r="C175" s="3"/>
      <c r="D175"/>
      <c r="E175"/>
      <c r="F175"/>
      <c r="G175"/>
      <c r="H175" s="37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</row>
    <row r="176" spans="1:24" x14ac:dyDescent="0.2">
      <c r="A176"/>
      <c r="B176"/>
      <c r="C176" s="3"/>
      <c r="D176"/>
      <c r="E176"/>
      <c r="F176"/>
      <c r="G176"/>
      <c r="H176" s="37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</row>
    <row r="177" spans="1:24" x14ac:dyDescent="0.2">
      <c r="A177"/>
      <c r="B177"/>
      <c r="C177" s="3"/>
      <c r="D177"/>
      <c r="E177"/>
      <c r="F177"/>
      <c r="G177"/>
      <c r="H177" s="3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</row>
    <row r="178" spans="1:24" x14ac:dyDescent="0.2">
      <c r="A178"/>
      <c r="B178"/>
      <c r="C178" s="3"/>
      <c r="D178"/>
      <c r="E178"/>
      <c r="F178"/>
      <c r="G178"/>
      <c r="H178" s="37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</row>
    <row r="179" spans="1:24" x14ac:dyDescent="0.2">
      <c r="A179"/>
      <c r="B179"/>
      <c r="C179" s="15"/>
      <c r="E179"/>
      <c r="F179"/>
      <c r="G179"/>
      <c r="H179" s="37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</row>
    <row r="180" spans="1:24" x14ac:dyDescent="0.2">
      <c r="A180"/>
      <c r="E180"/>
      <c r="F180"/>
      <c r="G180"/>
      <c r="H180" s="37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</row>
    <row r="181" spans="1:24" ht="20.25" thickBot="1" x14ac:dyDescent="0.35">
      <c r="A181"/>
      <c r="B181" s="175" t="s">
        <v>62</v>
      </c>
      <c r="C181" s="175"/>
      <c r="D181" s="175"/>
      <c r="E181" s="175"/>
      <c r="F181" s="175"/>
      <c r="G181" s="175"/>
      <c r="H181" s="37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</row>
    <row r="182" spans="1:24" ht="21" thickTop="1" thickBot="1" x14ac:dyDescent="0.35">
      <c r="A182"/>
      <c r="B182" s="99"/>
      <c r="C182" s="99"/>
      <c r="D182" s="99"/>
      <c r="E182" s="99"/>
      <c r="F182" s="99"/>
      <c r="G182" s="41"/>
      <c r="H182" s="37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</row>
    <row r="183" spans="1:24" ht="26.25" thickTop="1" x14ac:dyDescent="0.2">
      <c r="A183"/>
      <c r="B183" s="81" t="s">
        <v>51</v>
      </c>
      <c r="C183" s="24" t="s">
        <v>129</v>
      </c>
      <c r="D183" s="24" t="s">
        <v>52</v>
      </c>
      <c r="E183" s="24" t="s">
        <v>128</v>
      </c>
      <c r="F183" s="104" t="s">
        <v>46</v>
      </c>
      <c r="G183"/>
      <c r="H183" s="37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</row>
    <row r="184" spans="1:24" x14ac:dyDescent="0.2">
      <c r="A184"/>
      <c r="B184" s="82" t="s">
        <v>126</v>
      </c>
      <c r="C184" s="101"/>
      <c r="D184" s="103">
        <f>52*60</f>
        <v>3120</v>
      </c>
      <c r="E184" s="101"/>
      <c r="F184" s="56">
        <f>D184/C148</f>
        <v>0.11703391858683934</v>
      </c>
      <c r="G184"/>
      <c r="H184" s="37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</row>
    <row r="185" spans="1:24" x14ac:dyDescent="0.2">
      <c r="A185"/>
      <c r="B185" s="82" t="s">
        <v>165</v>
      </c>
      <c r="C185" s="101"/>
      <c r="D185" s="101"/>
      <c r="E185" s="101"/>
      <c r="F185" s="100">
        <v>0.1</v>
      </c>
      <c r="G185"/>
      <c r="H185" s="37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</row>
    <row r="186" spans="1:24" x14ac:dyDescent="0.2">
      <c r="A186"/>
      <c r="B186" s="86" t="s">
        <v>168</v>
      </c>
      <c r="C186" s="102">
        <v>365</v>
      </c>
      <c r="D186" s="101"/>
      <c r="E186" s="102">
        <v>15</v>
      </c>
      <c r="F186" s="56">
        <f>C186*E186/C$148</f>
        <v>0.20537202059709789</v>
      </c>
      <c r="G186"/>
      <c r="H186" s="37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</row>
    <row r="187" spans="1:24" x14ac:dyDescent="0.2">
      <c r="A187"/>
      <c r="B187" s="86" t="s">
        <v>125</v>
      </c>
      <c r="C187" s="102">
        <v>365</v>
      </c>
      <c r="D187" s="101"/>
      <c r="E187" s="102">
        <v>0</v>
      </c>
      <c r="F187" s="56">
        <f>C187*E187/C$148</f>
        <v>0</v>
      </c>
      <c r="G187"/>
      <c r="H187" s="3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</row>
    <row r="188" spans="1:24" ht="13.5" thickBot="1" x14ac:dyDescent="0.25">
      <c r="A188"/>
      <c r="B188" s="28" t="s">
        <v>195</v>
      </c>
      <c r="C188" s="106"/>
      <c r="D188" s="106"/>
      <c r="E188" s="106"/>
      <c r="F188" s="105">
        <f>C156*(C150-C149)*C154*C155/(1000)</f>
        <v>0</v>
      </c>
      <c r="G188" t="s">
        <v>0</v>
      </c>
      <c r="H188" s="37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</row>
    <row r="189" spans="1:24" ht="13.5" thickBot="1" x14ac:dyDescent="0.25">
      <c r="A189"/>
      <c r="B189" s="114" t="s">
        <v>197</v>
      </c>
      <c r="C189" s="116"/>
      <c r="D189" s="116"/>
      <c r="E189" s="116"/>
      <c r="F189" s="117">
        <f>SUM(F184:F188)</f>
        <v>0.42240593918393721</v>
      </c>
      <c r="G189"/>
      <c r="H189" s="37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</row>
    <row r="190" spans="1:24" ht="25.5" x14ac:dyDescent="0.2">
      <c r="A190"/>
      <c r="B190" s="81" t="s">
        <v>192</v>
      </c>
      <c r="C190" s="141" t="s">
        <v>139</v>
      </c>
      <c r="D190" s="141" t="s">
        <v>52</v>
      </c>
      <c r="E190" s="141" t="s">
        <v>46</v>
      </c>
      <c r="F190" s="142" t="s">
        <v>46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</row>
    <row r="191" spans="1:24" x14ac:dyDescent="0.2">
      <c r="A191"/>
      <c r="B191" s="82" t="s">
        <v>166</v>
      </c>
      <c r="C191" s="101">
        <v>1</v>
      </c>
      <c r="D191" s="102">
        <v>10</v>
      </c>
      <c r="E191" s="109">
        <f>60/600</f>
        <v>0.1</v>
      </c>
      <c r="F191" s="56">
        <f>IF(C191&gt;0,C191*E191+(C191*D191/C$159),0)</f>
        <v>0.11950565309780656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</row>
    <row r="192" spans="1:24" x14ac:dyDescent="0.2">
      <c r="A192"/>
      <c r="B192" s="82" t="s">
        <v>130</v>
      </c>
      <c r="C192" s="107">
        <v>1</v>
      </c>
      <c r="D192" s="102">
        <v>10</v>
      </c>
      <c r="E192" s="109">
        <v>0</v>
      </c>
      <c r="F192" s="56">
        <f t="shared" ref="F192:F199" si="1">IF(C192&gt;0,C192*E192+(C192*D192/C$159),0)</f>
        <v>1.9505653097806556E-2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</row>
    <row r="193" spans="1:24" x14ac:dyDescent="0.2">
      <c r="A193"/>
      <c r="B193" s="82" t="s">
        <v>198</v>
      </c>
      <c r="C193" s="107">
        <v>1</v>
      </c>
      <c r="D193" s="102">
        <v>5</v>
      </c>
      <c r="E193" s="109">
        <v>0.2</v>
      </c>
      <c r="F193" s="56">
        <f t="shared" si="1"/>
        <v>0.20975282654890329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</row>
    <row r="194" spans="1:24" x14ac:dyDescent="0.2">
      <c r="A194"/>
      <c r="B194" s="82" t="s">
        <v>174</v>
      </c>
      <c r="C194" s="102">
        <v>3</v>
      </c>
      <c r="D194" s="102">
        <v>5</v>
      </c>
      <c r="E194" s="109">
        <v>0.05</v>
      </c>
      <c r="F194" s="56">
        <f t="shared" si="1"/>
        <v>0.17925847964670985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</row>
    <row r="195" spans="1:24" x14ac:dyDescent="0.2">
      <c r="A195"/>
      <c r="B195" s="82" t="s">
        <v>175</v>
      </c>
      <c r="C195" s="102">
        <v>0.3</v>
      </c>
      <c r="D195" s="102">
        <v>5</v>
      </c>
      <c r="E195" s="109">
        <v>0.5</v>
      </c>
      <c r="F195" s="56">
        <f t="shared" si="1"/>
        <v>0.15292584796467099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</row>
    <row r="196" spans="1:24" x14ac:dyDescent="0.2">
      <c r="A196"/>
      <c r="B196" s="82" t="s">
        <v>167</v>
      </c>
      <c r="C196" s="102">
        <v>1</v>
      </c>
      <c r="D196" s="102">
        <v>10</v>
      </c>
      <c r="E196" s="110">
        <f>C316*C161</f>
        <v>0.52500000000000002</v>
      </c>
      <c r="F196" s="56">
        <f t="shared" si="1"/>
        <v>0.54450565309780663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</row>
    <row r="197" spans="1:24" x14ac:dyDescent="0.2">
      <c r="A197"/>
      <c r="B197" s="82" t="s">
        <v>45</v>
      </c>
      <c r="C197" s="102">
        <v>1</v>
      </c>
      <c r="D197" s="102">
        <v>10</v>
      </c>
      <c r="E197" s="109">
        <f>30/600</f>
        <v>0.05</v>
      </c>
      <c r="F197" s="56">
        <f t="shared" si="1"/>
        <v>6.9505653097806555E-2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</row>
    <row r="198" spans="1:24" x14ac:dyDescent="0.2">
      <c r="A198"/>
      <c r="B198" s="82" t="s">
        <v>159</v>
      </c>
      <c r="C198" s="108">
        <f>C157</f>
        <v>51.111111111111107</v>
      </c>
      <c r="D198" s="102">
        <v>0</v>
      </c>
      <c r="E198" s="109">
        <f>4/60</f>
        <v>6.6666666666666666E-2</v>
      </c>
      <c r="F198" s="56">
        <f t="shared" si="1"/>
        <v>3.407407407407407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</row>
    <row r="199" spans="1:24" ht="13.5" thickBot="1" x14ac:dyDescent="0.25">
      <c r="A199"/>
      <c r="B199" s="111" t="s">
        <v>194</v>
      </c>
      <c r="C199" s="112">
        <v>0</v>
      </c>
      <c r="D199" s="101">
        <v>5</v>
      </c>
      <c r="E199" s="113">
        <f>0.5*(C150-C149)/23/51</f>
        <v>9.8039215686274508E-3</v>
      </c>
      <c r="F199" s="56">
        <f t="shared" si="1"/>
        <v>0</v>
      </c>
      <c r="I199" t="s">
        <v>0</v>
      </c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</row>
    <row r="200" spans="1:24" ht="13.5" thickBot="1" x14ac:dyDescent="0.25">
      <c r="A200"/>
      <c r="B200" s="114" t="s">
        <v>187</v>
      </c>
      <c r="C200" s="95"/>
      <c r="D200" s="95"/>
      <c r="E200" s="95"/>
      <c r="F200" s="115">
        <f>SUM(F191:F199)</f>
        <v>4.7023671739589172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</row>
    <row r="201" spans="1:24" ht="13.5" thickBot="1" x14ac:dyDescent="0.25">
      <c r="A201"/>
      <c r="B201" s="73" t="s">
        <v>137</v>
      </c>
      <c r="C201" s="73"/>
      <c r="D201" s="73"/>
      <c r="E201" s="73"/>
      <c r="F201" s="73">
        <f>F200+F189</f>
        <v>5.1247731131428544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</row>
    <row r="202" spans="1:24" x14ac:dyDescent="0.2">
      <c r="A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</row>
    <row r="203" spans="1:24" x14ac:dyDescent="0.2">
      <c r="A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</row>
    <row r="204" spans="1:24" x14ac:dyDescent="0.2">
      <c r="A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</row>
    <row r="205" spans="1:24" x14ac:dyDescent="0.2">
      <c r="A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</row>
    <row r="206" spans="1:24" x14ac:dyDescent="0.2">
      <c r="A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</row>
    <row r="207" spans="1:24" x14ac:dyDescent="0.2">
      <c r="A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</row>
    <row r="208" spans="1:24" x14ac:dyDescent="0.2">
      <c r="A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</row>
    <row r="209" spans="1:24" x14ac:dyDescent="0.2">
      <c r="A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</row>
    <row r="210" spans="1:24" x14ac:dyDescent="0.2">
      <c r="A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</row>
    <row r="211" spans="1:24" x14ac:dyDescent="0.2">
      <c r="A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</row>
    <row r="212" spans="1:24" x14ac:dyDescent="0.2">
      <c r="A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</row>
    <row r="213" spans="1:24" x14ac:dyDescent="0.2">
      <c r="A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</row>
    <row r="214" spans="1:24" x14ac:dyDescent="0.2">
      <c r="A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</row>
    <row r="215" spans="1:24" x14ac:dyDescent="0.2">
      <c r="A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</row>
    <row r="216" spans="1:24" x14ac:dyDescent="0.2">
      <c r="A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</row>
    <row r="217" spans="1:24" x14ac:dyDescent="0.2">
      <c r="A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</row>
    <row r="218" spans="1:24" ht="20.25" thickBot="1" x14ac:dyDescent="0.35">
      <c r="A218"/>
      <c r="B218" s="31" t="s">
        <v>199</v>
      </c>
      <c r="C218" s="31"/>
      <c r="D218" s="31"/>
      <c r="E218" s="31"/>
      <c r="F218" s="31"/>
      <c r="G218" s="31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</row>
    <row r="219" spans="1:24" ht="13.5" thickTop="1" x14ac:dyDescent="0.2">
      <c r="A219"/>
      <c r="B219" s="13" t="s">
        <v>18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</row>
    <row r="220" spans="1:24" x14ac:dyDescent="0.2">
      <c r="A220"/>
      <c r="B220" s="13" t="s">
        <v>201</v>
      </c>
      <c r="C220" s="3">
        <f>C22</f>
        <v>10000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</row>
    <row r="221" spans="1:24" x14ac:dyDescent="0.2">
      <c r="A221"/>
      <c r="B221" s="2" t="s">
        <v>155</v>
      </c>
      <c r="C221" s="2">
        <f>D22</f>
        <v>30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</row>
    <row r="222" spans="1:24" x14ac:dyDescent="0.2">
      <c r="A222"/>
      <c r="B222" s="2" t="s">
        <v>160</v>
      </c>
      <c r="C222" s="2">
        <f>E22</f>
        <v>86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</row>
    <row r="223" spans="1:24" x14ac:dyDescent="0.2">
      <c r="A223"/>
      <c r="B223" s="2" t="s">
        <v>16</v>
      </c>
      <c r="C223" s="2">
        <f>C222*1.31</f>
        <v>112.66000000000001</v>
      </c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1:24" x14ac:dyDescent="0.2">
      <c r="A224"/>
      <c r="B224" s="2" t="s">
        <v>20</v>
      </c>
      <c r="C224" s="45">
        <v>2.8000000000000001E-2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1:24" x14ac:dyDescent="0.2">
      <c r="A225"/>
      <c r="B225" s="2" t="s">
        <v>17</v>
      </c>
      <c r="C225" s="30">
        <v>971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1:24" x14ac:dyDescent="0.2">
      <c r="A226"/>
      <c r="B226" t="s">
        <v>152</v>
      </c>
      <c r="C226" s="30">
        <v>2.79</v>
      </c>
      <c r="D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</row>
    <row r="227" spans="1:24" x14ac:dyDescent="0.2">
      <c r="A227"/>
      <c r="B227" s="2" t="s">
        <v>99</v>
      </c>
      <c r="C227" s="30">
        <v>0.4</v>
      </c>
      <c r="D227" t="s">
        <v>153</v>
      </c>
      <c r="E227" s="2" t="s">
        <v>0</v>
      </c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1:24" x14ac:dyDescent="0.2">
      <c r="A228"/>
      <c r="B228" s="2" t="s">
        <v>98</v>
      </c>
      <c r="C228" s="44">
        <v>0</v>
      </c>
      <c r="D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</row>
    <row r="229" spans="1:24" x14ac:dyDescent="0.2">
      <c r="A229"/>
      <c r="B229" s="2" t="s">
        <v>148</v>
      </c>
      <c r="C229" s="2">
        <f>(C223-C221)/(C225/1000)</f>
        <v>85.128733264675603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</row>
    <row r="230" spans="1:24" x14ac:dyDescent="0.2">
      <c r="A230"/>
      <c r="B230" s="2" t="s">
        <v>147</v>
      </c>
      <c r="C230" s="46">
        <v>1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</row>
    <row r="231" spans="1:24" x14ac:dyDescent="0.2">
      <c r="A231"/>
      <c r="B231" s="2" t="s">
        <v>141</v>
      </c>
      <c r="C231" s="3">
        <f>C220/(365/(C230*7))</f>
        <v>191.7808219178082</v>
      </c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</row>
    <row r="232" spans="1:24" x14ac:dyDescent="0.2">
      <c r="A232"/>
      <c r="B232" s="2" t="s">
        <v>151</v>
      </c>
      <c r="C232" s="46">
        <v>3</v>
      </c>
      <c r="E232" s="2" t="s">
        <v>0</v>
      </c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</row>
    <row r="233" spans="1:24" x14ac:dyDescent="0.2">
      <c r="A233"/>
      <c r="B233" s="2" t="s">
        <v>161</v>
      </c>
      <c r="C233" s="15">
        <f>C232*52/C230/IF(C232/C230&lt;=3,3,1)</f>
        <v>52</v>
      </c>
      <c r="D233" s="2" t="s">
        <v>0</v>
      </c>
      <c r="E233" s="2" t="s">
        <v>0</v>
      </c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</row>
    <row r="234" spans="1:24" x14ac:dyDescent="0.2">
      <c r="A234"/>
      <c r="B234" s="2" t="s">
        <v>162</v>
      </c>
      <c r="C234" s="32">
        <v>4</v>
      </c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</row>
    <row r="235" spans="1:24" x14ac:dyDescent="0.2">
      <c r="A235"/>
      <c r="B235" s="2" t="s">
        <v>170</v>
      </c>
      <c r="C235" s="32">
        <v>0.65</v>
      </c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</row>
    <row r="236" spans="1:24" x14ac:dyDescent="0.2">
      <c r="A236"/>
      <c r="B236" s="2" t="s">
        <v>164</v>
      </c>
      <c r="C236" s="3">
        <f>C235*C238</f>
        <v>1587.2240170421683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</row>
    <row r="237" spans="1:24" x14ac:dyDescent="0.2">
      <c r="A237"/>
      <c r="B237" s="2" t="s">
        <v>171</v>
      </c>
      <c r="C237" s="89">
        <f>C231*0.65+0.5*((C236+C238*0.1)/40)*1</f>
        <v>147.55018833852969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</row>
    <row r="238" spans="1:24" x14ac:dyDescent="0.2">
      <c r="A238"/>
      <c r="B238" s="2" t="s">
        <v>146</v>
      </c>
      <c r="C238" s="75">
        <f>C220/(365/(C229+C234))</f>
        <v>2441.8831031417972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</row>
    <row r="239" spans="1:24" x14ac:dyDescent="0.2">
      <c r="A239"/>
      <c r="B239" t="s">
        <v>202</v>
      </c>
      <c r="C239">
        <f>C220*(1+C224/2)</f>
        <v>10140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</row>
    <row r="240" spans="1:24" x14ac:dyDescent="0.2">
      <c r="A240"/>
      <c r="B240" t="s">
        <v>203</v>
      </c>
      <c r="C240">
        <f>C220*(1-C224/2)</f>
        <v>9860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</row>
    <row r="241" spans="1:24" x14ac:dyDescent="0.2">
      <c r="A241"/>
      <c r="B241"/>
      <c r="C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</row>
    <row r="242" spans="1:24" x14ac:dyDescent="0.2">
      <c r="A242"/>
      <c r="B242"/>
      <c r="C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</row>
    <row r="243" spans="1:24" x14ac:dyDescent="0.2">
      <c r="A243"/>
      <c r="B243"/>
      <c r="C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</row>
    <row r="244" spans="1:24" x14ac:dyDescent="0.2">
      <c r="A244"/>
      <c r="B244"/>
      <c r="C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</row>
    <row r="245" spans="1:24" x14ac:dyDescent="0.2">
      <c r="A245"/>
      <c r="B245"/>
      <c r="C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</row>
    <row r="246" spans="1:24" x14ac:dyDescent="0.2">
      <c r="A246"/>
      <c r="B246"/>
      <c r="C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</row>
    <row r="247" spans="1:24" x14ac:dyDescent="0.2">
      <c r="A247"/>
      <c r="B247"/>
      <c r="C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</row>
    <row r="248" spans="1:24" x14ac:dyDescent="0.2">
      <c r="A248"/>
      <c r="B248"/>
      <c r="C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</row>
    <row r="249" spans="1:24" x14ac:dyDescent="0.2">
      <c r="A249"/>
      <c r="B249"/>
      <c r="C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</row>
    <row r="250" spans="1:24" x14ac:dyDescent="0.2">
      <c r="A250"/>
      <c r="B250"/>
      <c r="C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</row>
    <row r="251" spans="1:24" x14ac:dyDescent="0.2">
      <c r="A251"/>
      <c r="B251"/>
      <c r="C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</row>
    <row r="252" spans="1:24" x14ac:dyDescent="0.2">
      <c r="A252"/>
      <c r="D252" s="77" t="s">
        <v>0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</row>
    <row r="253" spans="1:24" x14ac:dyDescent="0.2">
      <c r="A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</row>
    <row r="254" spans="1:24" x14ac:dyDescent="0.2">
      <c r="A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</row>
    <row r="255" spans="1:24" x14ac:dyDescent="0.2">
      <c r="A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</row>
    <row r="256" spans="1:24" x14ac:dyDescent="0.2">
      <c r="A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</row>
    <row r="257" spans="1:24" x14ac:dyDescent="0.2">
      <c r="A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</row>
    <row r="258" spans="1:24" ht="20.25" thickBot="1" x14ac:dyDescent="0.35">
      <c r="A258"/>
      <c r="B258" s="31" t="s">
        <v>200</v>
      </c>
      <c r="C258" s="1"/>
      <c r="D258" s="1"/>
      <c r="E258" s="1"/>
      <c r="F258" s="1"/>
      <c r="G258" s="1"/>
      <c r="H258" s="37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</row>
    <row r="259" spans="1:24" ht="13.5" thickTop="1" x14ac:dyDescent="0.2">
      <c r="A259"/>
      <c r="B259"/>
      <c r="C259"/>
      <c r="D259"/>
      <c r="E259"/>
      <c r="F259"/>
      <c r="G259"/>
      <c r="H259" s="37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</row>
    <row r="260" spans="1:24" ht="13.5" thickBot="1" x14ac:dyDescent="0.25">
      <c r="A260"/>
      <c r="B260"/>
      <c r="C260"/>
      <c r="D260"/>
      <c r="E260"/>
      <c r="F260"/>
      <c r="G260"/>
      <c r="H260" s="37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</row>
    <row r="261" spans="1:24" ht="25.5" x14ac:dyDescent="0.2">
      <c r="A261"/>
      <c r="B261" s="81" t="s">
        <v>51</v>
      </c>
      <c r="C261" s="71" t="s">
        <v>129</v>
      </c>
      <c r="D261" s="24" t="s">
        <v>52</v>
      </c>
      <c r="E261" s="84" t="s">
        <v>193</v>
      </c>
      <c r="F261" s="72" t="s">
        <v>127</v>
      </c>
      <c r="H261" s="37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</row>
    <row r="262" spans="1:24" x14ac:dyDescent="0.2">
      <c r="A262"/>
      <c r="B262" s="82" t="s">
        <v>126</v>
      </c>
      <c r="C262" s="57">
        <v>1</v>
      </c>
      <c r="D262" s="69">
        <f>52*60</f>
        <v>3120</v>
      </c>
      <c r="E262" s="57"/>
      <c r="F262" s="56">
        <f>IF(C262&gt;0,(C262*E262+D262)/C$220,0)</f>
        <v>0.312</v>
      </c>
      <c r="H262" s="37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</row>
    <row r="263" spans="1:24" x14ac:dyDescent="0.2">
      <c r="A263"/>
      <c r="B263" s="82" t="s">
        <v>204</v>
      </c>
      <c r="C263" s="57">
        <v>1</v>
      </c>
      <c r="D263" s="57"/>
      <c r="E263" s="57"/>
      <c r="F263" s="85">
        <v>0.1</v>
      </c>
      <c r="H263" s="37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</row>
    <row r="264" spans="1:24" x14ac:dyDescent="0.2">
      <c r="A264"/>
      <c r="B264" s="86" t="s">
        <v>19</v>
      </c>
      <c r="C264" s="55">
        <v>365</v>
      </c>
      <c r="D264" s="57"/>
      <c r="E264" s="55">
        <v>15</v>
      </c>
      <c r="F264" s="56">
        <f t="shared" ref="F264:F268" si="2">IF(C264&gt;0,(C264*E264+D264)/C$220,0)</f>
        <v>0.54749999999999999</v>
      </c>
      <c r="H264" s="37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</row>
    <row r="265" spans="1:24" x14ac:dyDescent="0.2">
      <c r="A265"/>
      <c r="B265" s="86" t="s">
        <v>125</v>
      </c>
      <c r="C265" s="55">
        <v>365</v>
      </c>
      <c r="D265" s="57"/>
      <c r="E265" s="55">
        <v>0</v>
      </c>
      <c r="F265" s="56">
        <f t="shared" si="2"/>
        <v>0</v>
      </c>
      <c r="H265" s="37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</row>
    <row r="266" spans="1:24" x14ac:dyDescent="0.2">
      <c r="A266"/>
      <c r="B266" s="86" t="s">
        <v>176</v>
      </c>
      <c r="C266" s="74">
        <f>C233</f>
        <v>52</v>
      </c>
      <c r="D266" s="57"/>
      <c r="E266" s="83">
        <f>C237*Vaske_tid_udleveringsrum_etc</f>
        <v>44.265056501558909</v>
      </c>
      <c r="F266" s="56">
        <f t="shared" si="2"/>
        <v>0.23017829380810631</v>
      </c>
      <c r="H266" s="37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</row>
    <row r="267" spans="1:24" x14ac:dyDescent="0.2">
      <c r="A267"/>
      <c r="B267" s="86" t="s">
        <v>177</v>
      </c>
      <c r="C267" s="74">
        <f>C266</f>
        <v>52</v>
      </c>
      <c r="D267" s="57"/>
      <c r="E267" s="120">
        <v>15</v>
      </c>
      <c r="F267" s="56">
        <f t="shared" si="2"/>
        <v>7.8E-2</v>
      </c>
      <c r="H267" s="3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</row>
    <row r="268" spans="1:24" x14ac:dyDescent="0.2">
      <c r="A268"/>
      <c r="B268" s="86" t="s">
        <v>195</v>
      </c>
      <c r="C268" s="57"/>
      <c r="D268" s="57"/>
      <c r="E268" s="57"/>
      <c r="F268" s="56">
        <f t="shared" si="2"/>
        <v>0</v>
      </c>
      <c r="G268" s="2" t="s">
        <v>0</v>
      </c>
      <c r="H268" s="37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</row>
    <row r="269" spans="1:24" ht="13.5" thickBot="1" x14ac:dyDescent="0.25">
      <c r="A269"/>
      <c r="B269" s="87" t="s">
        <v>197</v>
      </c>
      <c r="C269" s="76"/>
      <c r="D269" s="76"/>
      <c r="E269" s="76"/>
      <c r="F269" s="88">
        <f>SUM(F262:F268)</f>
        <v>1.2676782938081064</v>
      </c>
      <c r="H269" s="37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</row>
    <row r="270" spans="1:24" ht="13.5" thickBot="1" x14ac:dyDescent="0.25">
      <c r="A270"/>
      <c r="B270"/>
      <c r="C270"/>
      <c r="D270"/>
      <c r="E270"/>
      <c r="F270"/>
      <c r="H270" s="37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</row>
    <row r="271" spans="1:24" x14ac:dyDescent="0.2">
      <c r="A271"/>
      <c r="B271" s="92" t="s">
        <v>192</v>
      </c>
      <c r="C271" s="20" t="s">
        <v>150</v>
      </c>
      <c r="D271" s="20" t="s">
        <v>2</v>
      </c>
      <c r="E271" s="20" t="s">
        <v>3</v>
      </c>
      <c r="F271" s="93" t="s">
        <v>149</v>
      </c>
      <c r="H271" s="37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</row>
    <row r="272" spans="1:24" x14ac:dyDescent="0.2">
      <c r="A272"/>
      <c r="B272" s="21" t="s">
        <v>21</v>
      </c>
      <c r="C272" s="97">
        <v>1</v>
      </c>
      <c r="D272" s="55">
        <v>10</v>
      </c>
      <c r="E272" s="90">
        <f>120/600</f>
        <v>0.2</v>
      </c>
      <c r="F272" s="94">
        <f>IF(C272&gt;0,D272/C$231+E272*C272,0)</f>
        <v>0.25214285714285717</v>
      </c>
      <c r="I272"/>
      <c r="J272" s="5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</row>
    <row r="273" spans="1:24" x14ac:dyDescent="0.2">
      <c r="A273"/>
      <c r="B273" s="82" t="s">
        <v>174</v>
      </c>
      <c r="C273" s="34">
        <v>1</v>
      </c>
      <c r="D273" s="55">
        <v>5</v>
      </c>
      <c r="E273" s="90">
        <v>0.2</v>
      </c>
      <c r="F273" s="94">
        <f t="shared" ref="F273:F279" si="3">IF(C273&gt;0,D273/C$231+E273*C273,0)</f>
        <v>0.22607142857142859</v>
      </c>
      <c r="I273"/>
      <c r="J273" s="5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</row>
    <row r="274" spans="1:24" x14ac:dyDescent="0.2">
      <c r="A274"/>
      <c r="B274" s="82" t="s">
        <v>131</v>
      </c>
      <c r="C274" s="55">
        <v>0</v>
      </c>
      <c r="D274" s="55">
        <v>5</v>
      </c>
      <c r="E274" s="90">
        <v>0.3</v>
      </c>
      <c r="F274" s="94">
        <f t="shared" si="3"/>
        <v>0</v>
      </c>
      <c r="I274"/>
      <c r="J274" s="5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</row>
    <row r="275" spans="1:24" x14ac:dyDescent="0.2">
      <c r="A275"/>
      <c r="B275" s="21" t="s">
        <v>206</v>
      </c>
      <c r="C275" s="34">
        <v>2</v>
      </c>
      <c r="D275" s="34">
        <v>5</v>
      </c>
      <c r="E275" s="70">
        <v>0.5</v>
      </c>
      <c r="F275" s="94">
        <f t="shared" si="3"/>
        <v>1.0260714285714285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</row>
    <row r="276" spans="1:24" x14ac:dyDescent="0.2">
      <c r="A276"/>
      <c r="B276" s="21" t="s">
        <v>205</v>
      </c>
      <c r="C276" s="74">
        <f>C232-1</f>
        <v>2</v>
      </c>
      <c r="D276" s="34">
        <v>5</v>
      </c>
      <c r="E276" s="70">
        <v>0.5</v>
      </c>
      <c r="F276" s="94">
        <f t="shared" si="3"/>
        <v>1.0260714285714285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</row>
    <row r="277" spans="1:24" x14ac:dyDescent="0.2">
      <c r="A277"/>
      <c r="B277" s="21" t="s">
        <v>14</v>
      </c>
      <c r="C277" s="34">
        <v>1</v>
      </c>
      <c r="D277" s="34">
        <v>5</v>
      </c>
      <c r="E277" s="12">
        <f>C235*C316</f>
        <v>1.1375</v>
      </c>
      <c r="F277" s="94">
        <f t="shared" si="3"/>
        <v>1.1635714285714285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</row>
    <row r="278" spans="1:24" x14ac:dyDescent="0.2">
      <c r="A278"/>
      <c r="B278" s="21" t="s">
        <v>53</v>
      </c>
      <c r="C278" s="15">
        <f>C229</f>
        <v>85.128733264675603</v>
      </c>
      <c r="D278" s="34">
        <v>5</v>
      </c>
      <c r="E278" s="70">
        <f>(4)/60</f>
        <v>6.6666666666666666E-2</v>
      </c>
      <c r="F278" s="94">
        <f t="shared" si="3"/>
        <v>5.7013203128831353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</row>
    <row r="279" spans="1:24" x14ac:dyDescent="0.2">
      <c r="A279"/>
      <c r="B279" s="21" t="s">
        <v>194</v>
      </c>
      <c r="C279" s="46">
        <v>0</v>
      </c>
      <c r="D279" s="34">
        <v>5</v>
      </c>
      <c r="E279" s="70">
        <f>0.04*(C223-C221)/80</f>
        <v>4.1330000000000006E-2</v>
      </c>
      <c r="F279" s="94">
        <f t="shared" si="3"/>
        <v>0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</row>
    <row r="280" spans="1:24" ht="13.5" thickBot="1" x14ac:dyDescent="0.25">
      <c r="A280"/>
      <c r="B280" s="87" t="s">
        <v>196</v>
      </c>
      <c r="C280" s="76"/>
      <c r="D280" s="76"/>
      <c r="E280" s="76"/>
      <c r="F280" s="88">
        <f>SUM(F272:F279)</f>
        <v>9.3952488843117052</v>
      </c>
      <c r="I280" s="27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</row>
    <row r="281" spans="1:24" x14ac:dyDescent="0.2">
      <c r="A281"/>
      <c r="B281" s="42"/>
      <c r="C281" s="42"/>
      <c r="D281" s="42"/>
      <c r="E281" s="42"/>
      <c r="F281" s="42"/>
      <c r="G281" s="43"/>
      <c r="I281" s="27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</row>
    <row r="282" spans="1:24" ht="13.5" thickBot="1" x14ac:dyDescent="0.25">
      <c r="A282"/>
      <c r="B282" s="118" t="s">
        <v>207</v>
      </c>
      <c r="C282" s="118"/>
      <c r="D282" s="118"/>
      <c r="E282" s="118"/>
      <c r="F282" s="119">
        <f>F269+F280</f>
        <v>10.662927178119812</v>
      </c>
      <c r="G282" s="43"/>
      <c r="I282" s="27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</row>
    <row r="283" spans="1:24" x14ac:dyDescent="0.2">
      <c r="A283"/>
      <c r="B283" s="42"/>
      <c r="C283" s="42"/>
      <c r="D283" s="42"/>
      <c r="E283" s="42"/>
      <c r="F283" s="42"/>
      <c r="G283" s="43"/>
      <c r="I283" s="27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</row>
    <row r="284" spans="1:24" x14ac:dyDescent="0.2">
      <c r="A284"/>
      <c r="B284" s="42"/>
      <c r="C284" s="42"/>
      <c r="D284" s="42"/>
      <c r="E284" s="42"/>
      <c r="F284" s="42"/>
      <c r="G284" s="43"/>
      <c r="I284" s="27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</row>
    <row r="285" spans="1:24" x14ac:dyDescent="0.2">
      <c r="A285"/>
      <c r="B285" s="42"/>
      <c r="C285" s="42"/>
      <c r="D285" s="42"/>
      <c r="E285" s="42"/>
      <c r="F285" s="42"/>
      <c r="G285" s="43"/>
      <c r="I285" s="27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</row>
    <row r="286" spans="1:24" x14ac:dyDescent="0.2">
      <c r="A286"/>
      <c r="B286" s="42"/>
      <c r="C286" s="42"/>
      <c r="D286" s="42"/>
      <c r="E286" s="42"/>
      <c r="F286" s="42"/>
      <c r="G286" s="43"/>
      <c r="I286" s="27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</row>
    <row r="287" spans="1:24" x14ac:dyDescent="0.2">
      <c r="A287"/>
      <c r="B287" s="42"/>
      <c r="C287" s="42"/>
      <c r="D287" s="42"/>
      <c r="E287" s="42"/>
      <c r="F287" s="42"/>
      <c r="G287" s="43"/>
      <c r="I287" s="2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</row>
    <row r="288" spans="1:24" x14ac:dyDescent="0.2">
      <c r="A288"/>
      <c r="B288" s="42"/>
      <c r="C288" s="42"/>
      <c r="D288" s="42"/>
      <c r="E288" s="42"/>
      <c r="F288" s="42"/>
      <c r="G288" s="43"/>
      <c r="I288" s="27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</row>
    <row r="289" spans="1:24" x14ac:dyDescent="0.2">
      <c r="A289"/>
      <c r="B289" s="42"/>
      <c r="C289" s="42"/>
      <c r="D289" s="42"/>
      <c r="E289" s="42"/>
      <c r="F289" s="42"/>
      <c r="G289" s="43"/>
      <c r="I289" s="27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</row>
    <row r="290" spans="1:24" x14ac:dyDescent="0.2">
      <c r="A290"/>
      <c r="B290" s="42"/>
      <c r="C290" s="42"/>
      <c r="D290" s="42"/>
      <c r="E290" s="42"/>
      <c r="F290" s="42"/>
      <c r="G290" s="43"/>
      <c r="I290" s="27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</row>
    <row r="291" spans="1:24" x14ac:dyDescent="0.2">
      <c r="A291"/>
      <c r="B291" s="42"/>
      <c r="C291" s="42"/>
      <c r="D291" s="42"/>
      <c r="E291" s="42"/>
      <c r="F291" s="42"/>
      <c r="G291" s="43"/>
      <c r="I291" s="27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</row>
    <row r="292" spans="1:24" x14ac:dyDescent="0.2">
      <c r="A292"/>
      <c r="B292" s="42"/>
      <c r="C292" s="42"/>
      <c r="D292" s="42"/>
      <c r="E292" s="42"/>
      <c r="F292" s="42"/>
      <c r="G292" s="43"/>
      <c r="I292" s="27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</row>
    <row r="293" spans="1:24" x14ac:dyDescent="0.2">
      <c r="A293"/>
      <c r="B293" s="42"/>
      <c r="C293" s="42"/>
      <c r="D293" s="42"/>
      <c r="E293" s="42"/>
      <c r="F293" s="42"/>
      <c r="G293" s="43"/>
      <c r="I293" s="27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</row>
    <row r="294" spans="1:24" x14ac:dyDescent="0.2">
      <c r="A294"/>
      <c r="B294" s="42"/>
      <c r="C294" s="42"/>
      <c r="D294" s="42"/>
      <c r="E294" s="42"/>
      <c r="F294" s="42"/>
      <c r="G294" s="43"/>
      <c r="I294" s="27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</row>
    <row r="295" spans="1:24" x14ac:dyDescent="0.2">
      <c r="A295"/>
      <c r="B295" s="42"/>
      <c r="C295" s="42"/>
      <c r="D295" s="42"/>
      <c r="E295" s="42"/>
      <c r="F295" s="42"/>
      <c r="G295" s="43"/>
      <c r="I295" s="27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</row>
    <row r="296" spans="1:24" x14ac:dyDescent="0.2">
      <c r="A296"/>
      <c r="B296" s="42"/>
      <c r="C296" s="42"/>
      <c r="D296" s="42"/>
      <c r="E296" s="42"/>
      <c r="F296" s="42"/>
      <c r="G296" s="43"/>
      <c r="I296" s="27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</row>
    <row r="297" spans="1:24" x14ac:dyDescent="0.2">
      <c r="A297"/>
      <c r="B297" s="42"/>
      <c r="C297" s="42"/>
      <c r="D297" s="42"/>
      <c r="E297" s="42"/>
      <c r="F297" s="42"/>
      <c r="G297" s="43"/>
      <c r="I297" s="2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</row>
    <row r="298" spans="1:24" x14ac:dyDescent="0.2">
      <c r="A298"/>
      <c r="B298" s="42"/>
      <c r="C298" s="42"/>
      <c r="D298" s="42"/>
      <c r="E298" s="42"/>
      <c r="F298" s="42"/>
      <c r="G298" s="43"/>
      <c r="I298" s="27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</row>
    <row r="299" spans="1:24" x14ac:dyDescent="0.2">
      <c r="A299"/>
      <c r="B299" s="42"/>
      <c r="C299" s="42"/>
      <c r="D299" s="42"/>
      <c r="E299" s="42"/>
      <c r="F299" s="42"/>
      <c r="G299" s="43"/>
      <c r="I299" s="27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</row>
    <row r="300" spans="1:24" x14ac:dyDescent="0.2">
      <c r="A300"/>
      <c r="B300" s="42"/>
      <c r="C300" s="42"/>
      <c r="D300" s="42"/>
      <c r="E300" s="42"/>
      <c r="F300" s="42"/>
      <c r="G300" s="43"/>
      <c r="I300" s="27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</row>
    <row r="301" spans="1:24" x14ac:dyDescent="0.2">
      <c r="A301"/>
      <c r="B301" s="42"/>
      <c r="C301" s="42"/>
      <c r="D301" s="42"/>
      <c r="E301" s="42"/>
      <c r="F301" s="42"/>
      <c r="G301" s="43"/>
      <c r="I301" s="27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</row>
    <row r="302" spans="1:24" x14ac:dyDescent="0.2">
      <c r="A302"/>
      <c r="B302" s="42"/>
      <c r="C302" s="42"/>
      <c r="D302" s="42"/>
      <c r="E302" s="42"/>
      <c r="F302" s="42"/>
      <c r="G302" s="43"/>
      <c r="I302" s="27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</row>
    <row r="303" spans="1:24" x14ac:dyDescent="0.2">
      <c r="A303"/>
      <c r="B303" s="42"/>
      <c r="C303" s="42"/>
      <c r="D303" s="42"/>
      <c r="E303" s="42"/>
      <c r="F303" s="42"/>
      <c r="G303" s="43"/>
      <c r="I303" s="27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</row>
    <row r="304" spans="1:24" x14ac:dyDescent="0.2">
      <c r="A304"/>
      <c r="B304" s="42"/>
      <c r="C304" s="42"/>
      <c r="D304" s="42"/>
      <c r="E304" s="42"/>
      <c r="F304" s="42"/>
      <c r="G304" s="43"/>
      <c r="I304" s="27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</row>
    <row r="305" spans="1:24" x14ac:dyDescent="0.2">
      <c r="A305"/>
      <c r="B305" s="42"/>
      <c r="C305" s="42"/>
      <c r="D305" s="42"/>
      <c r="E305" s="42"/>
      <c r="F305" s="42"/>
      <c r="G305" s="43"/>
      <c r="I305" s="27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</row>
    <row r="306" spans="1:24" x14ac:dyDescent="0.2">
      <c r="A306"/>
      <c r="B306" s="42"/>
      <c r="C306" s="42"/>
      <c r="D306" s="42"/>
      <c r="E306" s="42"/>
      <c r="F306" s="42"/>
      <c r="G306" s="43"/>
      <c r="I306" s="27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</row>
    <row r="307" spans="1:24" x14ac:dyDescent="0.2">
      <c r="A307"/>
      <c r="B307" s="42"/>
      <c r="C307" s="42"/>
      <c r="D307" s="42"/>
      <c r="E307" s="42"/>
      <c r="F307" s="42"/>
      <c r="G307" s="43"/>
      <c r="I307" s="2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</row>
    <row r="308" spans="1:24" x14ac:dyDescent="0.2">
      <c r="A308"/>
      <c r="C308"/>
      <c r="D308"/>
      <c r="E308"/>
      <c r="F308"/>
      <c r="G308"/>
      <c r="H308" s="37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</row>
    <row r="309" spans="1:24" x14ac:dyDescent="0.2">
      <c r="A309"/>
      <c r="C309"/>
      <c r="D309"/>
      <c r="E309"/>
      <c r="F309"/>
      <c r="G309"/>
      <c r="H309" s="37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</row>
    <row r="310" spans="1:24" x14ac:dyDescent="0.2">
      <c r="A310"/>
      <c r="C310"/>
      <c r="D310"/>
      <c r="E310"/>
      <c r="F310"/>
      <c r="G310"/>
      <c r="H310" s="37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</row>
    <row r="311" spans="1:24" ht="20.25" thickBot="1" x14ac:dyDescent="0.35">
      <c r="A311"/>
      <c r="B311" s="31" t="s">
        <v>59</v>
      </c>
      <c r="C311" s="31"/>
      <c r="D311" s="31"/>
      <c r="E311" s="1"/>
      <c r="F311" s="1"/>
      <c r="G311" s="1"/>
      <c r="H311" s="37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</row>
    <row r="312" spans="1:24" ht="13.5" thickTop="1" x14ac:dyDescent="0.2">
      <c r="A312"/>
      <c r="B312"/>
      <c r="E312"/>
      <c r="F312"/>
      <c r="G312"/>
      <c r="H312" s="37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</row>
    <row r="313" spans="1:24" x14ac:dyDescent="0.2">
      <c r="A313"/>
      <c r="B313"/>
      <c r="E313"/>
      <c r="F313"/>
      <c r="G313"/>
      <c r="H313" s="37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</row>
    <row r="314" spans="1:24" x14ac:dyDescent="0.2">
      <c r="A314"/>
      <c r="B314" s="2" t="s">
        <v>23</v>
      </c>
      <c r="C314" s="30">
        <v>7.5</v>
      </c>
      <c r="D314" s="2" t="s">
        <v>24</v>
      </c>
      <c r="E314"/>
      <c r="F314"/>
      <c r="G314"/>
      <c r="H314" s="37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</row>
    <row r="315" spans="1:24" x14ac:dyDescent="0.2">
      <c r="A315"/>
      <c r="B315" t="s">
        <v>25</v>
      </c>
      <c r="C315" s="16">
        <f>43*37</f>
        <v>1591</v>
      </c>
      <c r="D315" t="s">
        <v>26</v>
      </c>
      <c r="E315"/>
      <c r="F315"/>
      <c r="G315"/>
      <c r="H315" s="37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</row>
    <row r="316" spans="1:24" x14ac:dyDescent="0.2">
      <c r="A316"/>
      <c r="B316" t="s">
        <v>22</v>
      </c>
      <c r="C316" s="16">
        <v>1.75</v>
      </c>
      <c r="D316" t="s">
        <v>15</v>
      </c>
      <c r="E316"/>
      <c r="F316"/>
      <c r="G316"/>
      <c r="H316" s="37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</row>
    <row r="317" spans="1:24" x14ac:dyDescent="0.2">
      <c r="A317"/>
      <c r="B317" s="2" t="s">
        <v>180</v>
      </c>
      <c r="C317" s="30">
        <v>0.3</v>
      </c>
      <c r="D317" s="2" t="s">
        <v>15</v>
      </c>
      <c r="E317"/>
      <c r="F317"/>
      <c r="G317"/>
      <c r="H317" s="3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</row>
    <row r="318" spans="1:24" x14ac:dyDescent="0.2">
      <c r="A318"/>
      <c r="E318"/>
      <c r="F318"/>
      <c r="G318"/>
      <c r="H318" s="37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</row>
    <row r="319" spans="1:24" x14ac:dyDescent="0.2">
      <c r="A319"/>
      <c r="E319"/>
      <c r="F319"/>
      <c r="G319"/>
      <c r="H319" s="37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</row>
    <row r="320" spans="1:24" x14ac:dyDescent="0.2">
      <c r="A320"/>
      <c r="E320"/>
      <c r="F320"/>
      <c r="G320"/>
      <c r="H320" s="37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</row>
    <row r="321" spans="1:24" x14ac:dyDescent="0.2">
      <c r="A321"/>
      <c r="E321"/>
      <c r="F321"/>
      <c r="G321"/>
      <c r="H321" s="37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</row>
    <row r="322" spans="1:24" x14ac:dyDescent="0.2">
      <c r="A322"/>
      <c r="E322"/>
      <c r="F322"/>
      <c r="G322"/>
      <c r="H322" s="37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</row>
    <row r="323" spans="1:24" x14ac:dyDescent="0.2">
      <c r="A323"/>
      <c r="E323"/>
      <c r="F323"/>
      <c r="G323"/>
      <c r="H323" s="37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</row>
    <row r="324" spans="1:24" x14ac:dyDescent="0.2">
      <c r="A324"/>
      <c r="E324"/>
      <c r="F324"/>
      <c r="G324"/>
      <c r="H324" s="37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</row>
    <row r="325" spans="1:24" x14ac:dyDescent="0.2">
      <c r="A325"/>
      <c r="E325"/>
      <c r="F325"/>
      <c r="G325"/>
      <c r="H325" s="37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</row>
    <row r="326" spans="1:24" x14ac:dyDescent="0.2">
      <c r="A326"/>
      <c r="E326"/>
      <c r="F326"/>
      <c r="G326"/>
      <c r="H326" s="37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</row>
    <row r="327" spans="1:24" x14ac:dyDescent="0.2">
      <c r="A327"/>
      <c r="E327"/>
      <c r="F327"/>
      <c r="G327"/>
      <c r="H327" s="3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</row>
    <row r="328" spans="1:24" x14ac:dyDescent="0.2">
      <c r="A328"/>
      <c r="E328"/>
      <c r="F328"/>
      <c r="G328"/>
      <c r="H328" s="37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</row>
    <row r="329" spans="1:24" x14ac:dyDescent="0.2">
      <c r="A329"/>
      <c r="E329"/>
      <c r="F329"/>
      <c r="G329"/>
      <c r="H329" s="37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</row>
    <row r="330" spans="1:24" x14ac:dyDescent="0.2">
      <c r="A330"/>
      <c r="E330"/>
      <c r="F330"/>
      <c r="G330"/>
      <c r="H330" s="37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</row>
    <row r="331" spans="1:24" x14ac:dyDescent="0.2">
      <c r="A331"/>
      <c r="E331"/>
      <c r="F331"/>
      <c r="G331"/>
      <c r="H331" s="37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</row>
    <row r="332" spans="1:24" x14ac:dyDescent="0.2">
      <c r="A332"/>
      <c r="E332"/>
      <c r="F332"/>
      <c r="G332"/>
      <c r="H332" s="37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</row>
    <row r="333" spans="1:24" x14ac:dyDescent="0.2">
      <c r="A333"/>
      <c r="E333"/>
      <c r="F333"/>
      <c r="G333"/>
      <c r="H333" s="37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</row>
    <row r="334" spans="1:24" x14ac:dyDescent="0.2">
      <c r="A334"/>
      <c r="E334"/>
      <c r="F334"/>
      <c r="G334"/>
      <c r="H334" s="37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</row>
    <row r="335" spans="1:24" x14ac:dyDescent="0.2">
      <c r="A335"/>
      <c r="E335"/>
      <c r="F335"/>
      <c r="G335"/>
      <c r="H335" s="37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</row>
    <row r="336" spans="1:24" x14ac:dyDescent="0.2">
      <c r="A336"/>
      <c r="E336"/>
      <c r="F336"/>
      <c r="G336"/>
      <c r="H336" s="37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</row>
    <row r="337" spans="1:24" x14ac:dyDescent="0.2">
      <c r="A337"/>
      <c r="E337"/>
      <c r="F337"/>
      <c r="G337"/>
      <c r="H337" s="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</row>
    <row r="338" spans="1:24" x14ac:dyDescent="0.2">
      <c r="A338"/>
      <c r="E338"/>
      <c r="F338"/>
      <c r="G338"/>
      <c r="H338" s="37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</row>
    <row r="339" spans="1:24" x14ac:dyDescent="0.2">
      <c r="A339"/>
      <c r="E339"/>
      <c r="F339"/>
      <c r="G339"/>
      <c r="H339" s="37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</row>
    <row r="340" spans="1:24" x14ac:dyDescent="0.2">
      <c r="A340"/>
      <c r="E340"/>
      <c r="F340"/>
      <c r="G340"/>
      <c r="H340" s="37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</row>
    <row r="341" spans="1:24" x14ac:dyDescent="0.2">
      <c r="A341"/>
      <c r="E341"/>
      <c r="F341"/>
      <c r="G341"/>
      <c r="H341" s="37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</row>
    <row r="342" spans="1:24" x14ac:dyDescent="0.2">
      <c r="A342"/>
      <c r="E342"/>
      <c r="F342"/>
      <c r="G342"/>
      <c r="H342" s="37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</row>
    <row r="343" spans="1:24" x14ac:dyDescent="0.2">
      <c r="A343"/>
      <c r="E343"/>
      <c r="F343"/>
      <c r="G343"/>
      <c r="H343" s="37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</row>
    <row r="344" spans="1:24" x14ac:dyDescent="0.2">
      <c r="A344"/>
      <c r="E344"/>
      <c r="F344"/>
      <c r="G344"/>
      <c r="H344" s="37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</row>
    <row r="345" spans="1:24" x14ac:dyDescent="0.2">
      <c r="A345"/>
      <c r="E345"/>
      <c r="F345"/>
      <c r="G345"/>
      <c r="H345" s="37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</row>
    <row r="346" spans="1:24" x14ac:dyDescent="0.2">
      <c r="A346"/>
      <c r="E346"/>
      <c r="F346"/>
      <c r="G346"/>
      <c r="H346" s="37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</row>
    <row r="347" spans="1:24" x14ac:dyDescent="0.2">
      <c r="A347"/>
      <c r="E347"/>
      <c r="F347"/>
      <c r="G347"/>
      <c r="H347" s="3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</row>
    <row r="348" spans="1:24" x14ac:dyDescent="0.2">
      <c r="A348"/>
      <c r="B348" t="s">
        <v>0</v>
      </c>
      <c r="D348"/>
      <c r="E348"/>
      <c r="F348"/>
      <c r="G348"/>
      <c r="H348" s="37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</row>
    <row r="349" spans="1:24" x14ac:dyDescent="0.2">
      <c r="A349"/>
      <c r="B349"/>
      <c r="C349"/>
      <c r="D349"/>
      <c r="E349"/>
      <c r="F349"/>
      <c r="G349"/>
      <c r="H349" s="37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</row>
    <row r="350" spans="1:24" x14ac:dyDescent="0.2">
      <c r="A350"/>
      <c r="B350" t="s">
        <v>179</v>
      </c>
      <c r="C350"/>
      <c r="D350"/>
      <c r="E350"/>
      <c r="F350"/>
      <c r="G350"/>
      <c r="H350" s="37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</row>
    <row r="351" spans="1:24" x14ac:dyDescent="0.2">
      <c r="A351"/>
      <c r="B351" s="30" t="s">
        <v>47</v>
      </c>
      <c r="C351"/>
      <c r="D351"/>
      <c r="E351"/>
      <c r="F351"/>
      <c r="G351"/>
      <c r="H351" s="37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</row>
    <row r="352" spans="1:24" x14ac:dyDescent="0.2">
      <c r="A352"/>
      <c r="B352" t="s">
        <v>0</v>
      </c>
      <c r="C352"/>
      <c r="D352"/>
      <c r="E352"/>
      <c r="F352"/>
      <c r="G352"/>
      <c r="H352" s="37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</row>
    <row r="353" spans="1:24" ht="13.5" thickBot="1" x14ac:dyDescent="0.25">
      <c r="A353"/>
      <c r="B353" t="s">
        <v>0</v>
      </c>
      <c r="C353"/>
      <c r="D353"/>
      <c r="E353"/>
      <c r="F353"/>
      <c r="G353"/>
      <c r="H353" s="37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</row>
    <row r="354" spans="1:24" x14ac:dyDescent="0.2">
      <c r="A354"/>
      <c r="B354" s="92" t="s">
        <v>55</v>
      </c>
      <c r="C354" s="19"/>
      <c r="D354" s="93"/>
      <c r="E354"/>
      <c r="F354"/>
      <c r="G354"/>
      <c r="H354" s="37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</row>
    <row r="355" spans="1:24" ht="51.75" thickBot="1" x14ac:dyDescent="0.25">
      <c r="A355"/>
      <c r="B355" s="133">
        <f>IF(B351="Søer ved fravænning",F18,G18)</f>
        <v>10.929155196829095</v>
      </c>
      <c r="C355" s="136" t="s">
        <v>43</v>
      </c>
      <c r="D355" s="137" t="s">
        <v>181</v>
      </c>
      <c r="E355"/>
      <c r="F355"/>
      <c r="G355"/>
      <c r="H355" s="37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</row>
    <row r="356" spans="1:24" x14ac:dyDescent="0.2">
      <c r="A356"/>
      <c r="B356" s="61">
        <v>100</v>
      </c>
      <c r="C356" s="139">
        <f t="dataTable" ref="C356:D395" dt2D="1" dtr="1" r1="B351" r2="C18"/>
        <v>10.003842310909954</v>
      </c>
      <c r="D356" s="134">
        <v>14.569925843927765</v>
      </c>
      <c r="E356"/>
      <c r="F356"/>
      <c r="G356"/>
      <c r="H356" s="37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</row>
    <row r="357" spans="1:24" x14ac:dyDescent="0.2">
      <c r="A357"/>
      <c r="B357" s="21">
        <f>B356+50</f>
        <v>150</v>
      </c>
      <c r="C357" s="12">
        <v>9.2720487310628439</v>
      </c>
      <c r="D357" s="94">
        <v>13.182965597413988</v>
      </c>
      <c r="E357"/>
      <c r="F357"/>
      <c r="G357"/>
      <c r="H357" s="3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</row>
    <row r="358" spans="1:24" x14ac:dyDescent="0.2">
      <c r="A358"/>
      <c r="B358" s="21">
        <f t="shared" ref="B358:B394" si="4">B357+50</f>
        <v>200</v>
      </c>
      <c r="C358" s="12">
        <v>8.9061519411392851</v>
      </c>
      <c r="D358" s="94">
        <v>12.489485474157096</v>
      </c>
      <c r="E358"/>
      <c r="F358"/>
      <c r="G358"/>
      <c r="H358" s="37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</row>
    <row r="359" spans="1:24" x14ac:dyDescent="0.2">
      <c r="A359"/>
      <c r="B359" s="21">
        <f t="shared" si="4"/>
        <v>250</v>
      </c>
      <c r="C359" s="12">
        <v>8.6866138671851516</v>
      </c>
      <c r="D359" s="94">
        <v>12.073397400202962</v>
      </c>
      <c r="E359"/>
      <c r="F359"/>
      <c r="G359"/>
      <c r="H359" s="37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</row>
    <row r="360" spans="1:24" x14ac:dyDescent="0.2">
      <c r="A360"/>
      <c r="B360" s="21">
        <f t="shared" si="4"/>
        <v>300</v>
      </c>
      <c r="C360" s="12">
        <v>8.5402551512157281</v>
      </c>
      <c r="D360" s="94">
        <v>11.796005350900206</v>
      </c>
      <c r="E360"/>
      <c r="F360"/>
      <c r="G360"/>
      <c r="H360" s="37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</row>
    <row r="361" spans="1:24" x14ac:dyDescent="0.2">
      <c r="A361"/>
      <c r="B361" s="21">
        <f t="shared" si="4"/>
        <v>350</v>
      </c>
      <c r="C361" s="12">
        <v>8.4357132112375712</v>
      </c>
      <c r="D361" s="94">
        <v>11.597868172826811</v>
      </c>
      <c r="E361"/>
      <c r="F361"/>
      <c r="G361"/>
      <c r="H361" s="37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</row>
    <row r="362" spans="1:24" x14ac:dyDescent="0.2">
      <c r="A362"/>
      <c r="B362" s="21">
        <f t="shared" si="4"/>
        <v>400</v>
      </c>
      <c r="C362" s="12">
        <v>8.3573067562539514</v>
      </c>
      <c r="D362" s="94">
        <v>11.449265289271763</v>
      </c>
      <c r="E362"/>
      <c r="F362"/>
      <c r="G362"/>
      <c r="H362" s="37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</row>
    <row r="363" spans="1:24" x14ac:dyDescent="0.2">
      <c r="A363"/>
      <c r="B363" s="21">
        <f t="shared" si="4"/>
        <v>450</v>
      </c>
      <c r="C363" s="12">
        <v>8.2963239579333585</v>
      </c>
      <c r="D363" s="94">
        <v>11.333685268728946</v>
      </c>
      <c r="E363"/>
      <c r="F363"/>
      <c r="G363"/>
      <c r="H363" s="37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</row>
    <row r="364" spans="1:24" x14ac:dyDescent="0.2">
      <c r="A364"/>
      <c r="B364" s="21">
        <f t="shared" si="4"/>
        <v>500</v>
      </c>
      <c r="C364" s="12">
        <v>8.2475377192768846</v>
      </c>
      <c r="D364" s="94">
        <v>11.241221252294695</v>
      </c>
      <c r="E364"/>
      <c r="F364"/>
      <c r="G364"/>
      <c r="H364" s="37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</row>
    <row r="365" spans="1:24" x14ac:dyDescent="0.2">
      <c r="A365"/>
      <c r="B365" s="21">
        <f t="shared" si="4"/>
        <v>550</v>
      </c>
      <c r="C365" s="12">
        <v>8.2076217058306788</v>
      </c>
      <c r="D365" s="94">
        <v>11.165568875212125</v>
      </c>
      <c r="E365"/>
      <c r="F365"/>
      <c r="G365"/>
      <c r="H365" s="37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</row>
    <row r="366" spans="1:24" x14ac:dyDescent="0.2">
      <c r="A366"/>
      <c r="B366" s="21">
        <f t="shared" si="4"/>
        <v>600</v>
      </c>
      <c r="C366" s="12">
        <v>8.1743583612921729</v>
      </c>
      <c r="D366" s="94">
        <v>11.102525227643316</v>
      </c>
      <c r="E366"/>
      <c r="F366"/>
      <c r="G366"/>
      <c r="H366" s="37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</row>
    <row r="367" spans="1:24" x14ac:dyDescent="0.2">
      <c r="A367"/>
      <c r="B367" s="21">
        <f t="shared" si="4"/>
        <v>650</v>
      </c>
      <c r="C367" s="12">
        <v>8.146212454374977</v>
      </c>
      <c r="D367" s="94">
        <v>11.049180602777403</v>
      </c>
      <c r="E367"/>
      <c r="F367"/>
      <c r="G367"/>
      <c r="H367" s="3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</row>
    <row r="368" spans="1:24" x14ac:dyDescent="0.2">
      <c r="A368"/>
      <c r="B368" s="21">
        <f t="shared" si="4"/>
        <v>700</v>
      </c>
      <c r="C368" s="12">
        <v>8.1220873913030935</v>
      </c>
      <c r="D368" s="94">
        <v>11.003456638606618</v>
      </c>
      <c r="E368"/>
      <c r="F368"/>
      <c r="G368"/>
      <c r="H368" s="37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</row>
    <row r="369" spans="1:24" x14ac:dyDescent="0.2">
      <c r="A369"/>
      <c r="B369" s="21">
        <f t="shared" si="4"/>
        <v>750</v>
      </c>
      <c r="C369" s="12">
        <v>8.1011790033074611</v>
      </c>
      <c r="D369" s="94">
        <v>10.963829202991938</v>
      </c>
      <c r="E369"/>
      <c r="F369"/>
      <c r="G369"/>
      <c r="H369" s="37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</row>
    <row r="370" spans="1:24" x14ac:dyDescent="0.2">
      <c r="A370"/>
      <c r="B370" s="21">
        <f t="shared" si="4"/>
        <v>800</v>
      </c>
      <c r="C370" s="12">
        <v>8.0828841638112845</v>
      </c>
      <c r="D370" s="94">
        <v>10.929155196829095</v>
      </c>
      <c r="E370"/>
      <c r="F370"/>
      <c r="G370"/>
      <c r="H370" s="37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</row>
    <row r="371" spans="1:24" x14ac:dyDescent="0.2">
      <c r="A371"/>
      <c r="B371" s="21">
        <f t="shared" si="4"/>
        <v>850</v>
      </c>
      <c r="C371" s="12">
        <v>8.0667416583734788</v>
      </c>
      <c r="D371" s="94">
        <v>10.898560485508936</v>
      </c>
      <c r="E371"/>
      <c r="F371"/>
      <c r="G371"/>
      <c r="H371" s="37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</row>
    <row r="372" spans="1:24" x14ac:dyDescent="0.2">
      <c r="A372"/>
      <c r="B372" s="21">
        <f t="shared" si="4"/>
        <v>900</v>
      </c>
      <c r="C372" s="12">
        <v>8.0523927646509872</v>
      </c>
      <c r="D372" s="94">
        <v>10.871365186557686</v>
      </c>
      <c r="E372"/>
      <c r="F372"/>
      <c r="G372"/>
      <c r="H372" s="37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</row>
    <row r="373" spans="1:24" x14ac:dyDescent="0.2">
      <c r="A373"/>
      <c r="B373" s="21">
        <f t="shared" si="4"/>
        <v>950</v>
      </c>
      <c r="C373" s="12">
        <v>8.0395542807940199</v>
      </c>
      <c r="D373" s="94">
        <v>10.847032550653935</v>
      </c>
      <c r="E373"/>
      <c r="F373"/>
      <c r="G373"/>
      <c r="H373" s="37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</row>
    <row r="374" spans="1:24" x14ac:dyDescent="0.2">
      <c r="A374"/>
      <c r="B374" s="21">
        <f t="shared" si="4"/>
        <v>1000</v>
      </c>
      <c r="C374" s="12">
        <v>8.0279996453227511</v>
      </c>
      <c r="D374" s="94">
        <v>10.825133178340561</v>
      </c>
      <c r="E374"/>
      <c r="F374"/>
      <c r="G374"/>
      <c r="H374" s="37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</row>
    <row r="375" spans="1:24" x14ac:dyDescent="0.2">
      <c r="A375"/>
      <c r="B375" s="21">
        <f t="shared" si="4"/>
        <v>1050</v>
      </c>
      <c r="C375" s="12">
        <v>8.0175454513249331</v>
      </c>
      <c r="D375" s="94">
        <v>10.805319460533219</v>
      </c>
      <c r="E375"/>
      <c r="F375"/>
      <c r="G375"/>
      <c r="H375" s="37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</row>
    <row r="376" spans="1:24" x14ac:dyDescent="0.2">
      <c r="A376"/>
      <c r="B376" s="21">
        <f t="shared" si="4"/>
        <v>1100</v>
      </c>
      <c r="C376" s="12">
        <v>8.0080416385996465</v>
      </c>
      <c r="D376" s="94">
        <v>10.787306989799275</v>
      </c>
      <c r="E376"/>
      <c r="F376"/>
      <c r="G376"/>
      <c r="H376" s="37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</row>
    <row r="377" spans="1:24" x14ac:dyDescent="0.2">
      <c r="A377"/>
      <c r="B377" s="21">
        <f t="shared" si="4"/>
        <v>1150</v>
      </c>
      <c r="C377" s="12">
        <v>7.9993642443722131</v>
      </c>
      <c r="D377" s="94">
        <v>10.770860820868286</v>
      </c>
      <c r="E377"/>
      <c r="F377"/>
      <c r="G377"/>
      <c r="H377" s="3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</row>
    <row r="378" spans="1:24" x14ac:dyDescent="0.2">
      <c r="A378"/>
      <c r="B378" s="21">
        <f t="shared" si="4"/>
        <v>1200</v>
      </c>
      <c r="C378" s="12">
        <v>7.9914099663303944</v>
      </c>
      <c r="D378" s="94">
        <v>10.755785166014872</v>
      </c>
      <c r="E378" s="5"/>
      <c r="F378" s="5"/>
      <c r="G378"/>
      <c r="H378" s="37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</row>
    <row r="379" spans="1:24" x14ac:dyDescent="0.2">
      <c r="A379"/>
      <c r="B379" s="21">
        <f t="shared" si="4"/>
        <v>1250</v>
      </c>
      <c r="C379" s="12">
        <v>7.9840920305319241</v>
      </c>
      <c r="D379" s="94">
        <v>10.741915563549735</v>
      </c>
      <c r="E379"/>
      <c r="F379"/>
      <c r="G379"/>
      <c r="H379" s="37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</row>
    <row r="380" spans="1:24" x14ac:dyDescent="0.2">
      <c r="A380"/>
      <c r="B380" s="21">
        <f t="shared" si="4"/>
        <v>1300</v>
      </c>
      <c r="C380" s="12">
        <v>7.9773370128717964</v>
      </c>
      <c r="D380" s="94">
        <v>10.729112853581915</v>
      </c>
      <c r="E380"/>
      <c r="F380"/>
      <c r="G380"/>
      <c r="H380" s="37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</row>
    <row r="381" spans="1:24" x14ac:dyDescent="0.2">
      <c r="A381"/>
      <c r="B381" s="21">
        <f t="shared" si="4"/>
        <v>1350</v>
      </c>
      <c r="C381" s="12">
        <v>7.9710823668901973</v>
      </c>
      <c r="D381" s="94">
        <v>10.7172584925006</v>
      </c>
      <c r="E381"/>
      <c r="F381"/>
      <c r="G381"/>
      <c r="H381" s="37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</row>
    <row r="382" spans="1:24" x14ac:dyDescent="0.2">
      <c r="A382"/>
      <c r="B382" s="21">
        <f t="shared" si="4"/>
        <v>1400</v>
      </c>
      <c r="C382" s="12">
        <v>7.9652744813358565</v>
      </c>
      <c r="D382" s="94">
        <v>10.706250871496525</v>
      </c>
      <c r="E382"/>
      <c r="F382"/>
      <c r="G382"/>
      <c r="H382" s="38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</row>
    <row r="383" spans="1:24" x14ac:dyDescent="0.2">
      <c r="A383"/>
      <c r="B383" s="21">
        <f t="shared" si="4"/>
        <v>1450</v>
      </c>
      <c r="C383" s="12">
        <v>7.9598671396128458</v>
      </c>
      <c r="D383" s="94">
        <v>10.696002396768588</v>
      </c>
      <c r="E383"/>
      <c r="F383"/>
      <c r="G383"/>
      <c r="H383" s="38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</row>
    <row r="384" spans="1:24" x14ac:dyDescent="0.2">
      <c r="A384"/>
      <c r="B384" s="21">
        <f t="shared" si="4"/>
        <v>1500</v>
      </c>
      <c r="C384" s="12">
        <v>7.9548202873380394</v>
      </c>
      <c r="D384" s="94">
        <v>10.686437153689184</v>
      </c>
      <c r="E384"/>
      <c r="F384"/>
      <c r="G384"/>
      <c r="H384" s="38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</row>
    <row r="385" spans="1:24" x14ac:dyDescent="0.2">
      <c r="A385"/>
      <c r="B385" s="21">
        <f t="shared" si="4"/>
        <v>1550</v>
      </c>
      <c r="C385" s="12">
        <v>7.9500990384358001</v>
      </c>
      <c r="D385" s="94">
        <v>10.677489023066514</v>
      </c>
      <c r="E385"/>
      <c r="F385"/>
      <c r="G385"/>
      <c r="H385" s="39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</row>
    <row r="386" spans="1:24" x14ac:dyDescent="0.2">
      <c r="A386"/>
      <c r="B386" s="21">
        <f t="shared" si="4"/>
        <v>1600</v>
      </c>
      <c r="C386" s="12">
        <v>7.9456728675899511</v>
      </c>
      <c r="D386" s="94">
        <v>10.669100150607761</v>
      </c>
      <c r="E386"/>
      <c r="F386"/>
      <c r="G386"/>
      <c r="H386" s="37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</row>
    <row r="387" spans="1:24" x14ac:dyDescent="0.2">
      <c r="A387"/>
      <c r="B387" s="21">
        <f t="shared" si="4"/>
        <v>1650</v>
      </c>
      <c r="C387" s="12">
        <v>7.9415149495226363</v>
      </c>
      <c r="D387" s="94">
        <v>10.661219694661659</v>
      </c>
      <c r="E387"/>
      <c r="F387"/>
      <c r="G387"/>
      <c r="H387" s="3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</row>
    <row r="388" spans="1:24" x14ac:dyDescent="0.2">
      <c r="A388"/>
      <c r="B388" s="21">
        <f t="shared" si="4"/>
        <v>1700</v>
      </c>
      <c r="C388" s="12">
        <v>7.9376016148710482</v>
      </c>
      <c r="D388" s="94">
        <v>10.653802794947682</v>
      </c>
      <c r="E388"/>
      <c r="F388"/>
      <c r="G388"/>
      <c r="H388" s="37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</row>
    <row r="389" spans="1:24" x14ac:dyDescent="0.2">
      <c r="A389"/>
      <c r="B389" s="21">
        <f t="shared" si="4"/>
        <v>1750</v>
      </c>
      <c r="C389" s="12">
        <v>7.9339118993424069</v>
      </c>
      <c r="D389" s="94">
        <v>10.646809718074504</v>
      </c>
      <c r="E389"/>
      <c r="F389"/>
      <c r="G389"/>
      <c r="H389" s="37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</row>
    <row r="390" spans="1:24" x14ac:dyDescent="0.2">
      <c r="A390"/>
      <c r="B390" s="21">
        <f t="shared" si="4"/>
        <v>1800</v>
      </c>
      <c r="C390" s="12">
        <v>7.9304271680098024</v>
      </c>
      <c r="D390" s="94">
        <v>10.640205145472057</v>
      </c>
      <c r="E390"/>
      <c r="F390"/>
      <c r="G390"/>
      <c r="H390" s="37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</row>
    <row r="391" spans="1:24" x14ac:dyDescent="0.2">
      <c r="A391"/>
      <c r="B391" s="21">
        <f t="shared" si="4"/>
        <v>1850</v>
      </c>
      <c r="C391" s="12">
        <v>7.927130800533015</v>
      </c>
      <c r="D391" s="94">
        <v>10.633957576794069</v>
      </c>
      <c r="E391"/>
      <c r="F391"/>
      <c r="G391"/>
      <c r="H391" s="37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</row>
    <row r="392" spans="1:24" x14ac:dyDescent="0.2">
      <c r="A392"/>
      <c r="B392" s="21">
        <f t="shared" si="4"/>
        <v>1900</v>
      </c>
      <c r="C392" s="12">
        <v>7.9240079260813188</v>
      </c>
      <c r="D392" s="94">
        <v>10.628038827520182</v>
      </c>
      <c r="E392"/>
      <c r="F392"/>
      <c r="G392"/>
      <c r="H392" s="37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</row>
    <row r="393" spans="1:24" x14ac:dyDescent="0.2">
      <c r="A393"/>
      <c r="B393" s="21">
        <f t="shared" si="4"/>
        <v>1950</v>
      </c>
      <c r="C393" s="12">
        <v>7.9210451990374029</v>
      </c>
      <c r="D393" s="94">
        <v>10.622423603850084</v>
      </c>
      <c r="E393"/>
      <c r="F393"/>
      <c r="G393"/>
      <c r="H393" s="37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</row>
    <row r="394" spans="1:24" x14ac:dyDescent="0.2">
      <c r="A394"/>
      <c r="B394" s="21">
        <f t="shared" si="4"/>
        <v>2000</v>
      </c>
      <c r="C394" s="12">
        <v>7.9182306083456835</v>
      </c>
      <c r="D394" s="94">
        <v>10.617089141363493</v>
      </c>
      <c r="E394"/>
      <c r="F394"/>
      <c r="G394"/>
      <c r="H394" s="37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</row>
    <row r="395" spans="1:24" ht="13.5" thickBot="1" x14ac:dyDescent="0.25">
      <c r="A395"/>
      <c r="B395" s="22">
        <f>B394+400</f>
        <v>2400</v>
      </c>
      <c r="C395" s="140">
        <v>7.899935768849506</v>
      </c>
      <c r="D395" s="98">
        <v>10.58241513520065</v>
      </c>
      <c r="E395"/>
      <c r="F395"/>
      <c r="G395"/>
      <c r="H395" s="37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</row>
    <row r="396" spans="1:24" x14ac:dyDescent="0.2">
      <c r="A396"/>
      <c r="B396"/>
      <c r="C396"/>
      <c r="D396"/>
      <c r="E396"/>
      <c r="F396"/>
      <c r="G396"/>
      <c r="H396" s="37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</row>
    <row r="397" spans="1:24" x14ac:dyDescent="0.2">
      <c r="A397"/>
      <c r="B397"/>
      <c r="C397"/>
      <c r="D397"/>
      <c r="E397"/>
      <c r="F397"/>
      <c r="G397"/>
      <c r="H397" s="3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</row>
    <row r="398" spans="1:24" ht="13.5" thickBot="1" x14ac:dyDescent="0.25">
      <c r="A398"/>
      <c r="B398" s="172" t="s">
        <v>185</v>
      </c>
      <c r="C398" s="172"/>
      <c r="D398" s="172"/>
      <c r="E398"/>
      <c r="F398"/>
      <c r="G398"/>
      <c r="H398" s="37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</row>
    <row r="399" spans="1:24" x14ac:dyDescent="0.2">
      <c r="A399"/>
      <c r="B399" s="130" t="s">
        <v>184</v>
      </c>
      <c r="C399" s="93" t="s">
        <v>183</v>
      </c>
      <c r="D399"/>
      <c r="E399"/>
      <c r="F399"/>
      <c r="G399"/>
      <c r="H399" s="37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</row>
    <row r="400" spans="1:24" ht="13.5" thickBot="1" x14ac:dyDescent="0.25">
      <c r="A400" s="78"/>
      <c r="B400" s="133">
        <f>F20</f>
        <v>5.1247731131428544</v>
      </c>
      <c r="C400" s="135">
        <v>30</v>
      </c>
      <c r="D400"/>
      <c r="E400"/>
      <c r="F400"/>
      <c r="G400"/>
      <c r="H400" s="37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</row>
    <row r="401" spans="1:24" x14ac:dyDescent="0.2">
      <c r="A401" s="171" t="s">
        <v>0</v>
      </c>
      <c r="B401" s="61">
        <v>1000</v>
      </c>
      <c r="C401" s="134">
        <f t="dataTable" ref="C401:C431" dt2D="1" dtr="1" r1="E20" r2="C20" ca="1"/>
        <v>16.47540740740741</v>
      </c>
      <c r="D401"/>
      <c r="E401"/>
      <c r="F401"/>
      <c r="G401"/>
      <c r="H401" s="37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</row>
    <row r="402" spans="1:24" x14ac:dyDescent="0.2">
      <c r="A402" s="171"/>
      <c r="B402" s="21">
        <f>B401+500</f>
        <v>1500</v>
      </c>
      <c r="C402" s="94">
        <v>12.544407407407407</v>
      </c>
      <c r="D402"/>
      <c r="E402"/>
      <c r="F402"/>
      <c r="G402"/>
      <c r="H402" s="37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</row>
    <row r="403" spans="1:24" x14ac:dyDescent="0.2">
      <c r="A403" s="171"/>
      <c r="B403" s="21">
        <f t="shared" ref="B403:B418" si="5">B402+500</f>
        <v>2000</v>
      </c>
      <c r="C403" s="94">
        <v>10.578907407407407</v>
      </c>
      <c r="D403"/>
      <c r="E403"/>
      <c r="F403"/>
      <c r="G403"/>
      <c r="H403" s="37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</row>
    <row r="404" spans="1:24" x14ac:dyDescent="0.2">
      <c r="A404" s="171"/>
      <c r="B404" s="21">
        <f t="shared" si="5"/>
        <v>2500</v>
      </c>
      <c r="C404" s="94">
        <v>9.399607407407407</v>
      </c>
      <c r="D404"/>
      <c r="E404"/>
      <c r="F404"/>
      <c r="G404"/>
      <c r="H404" s="37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</row>
    <row r="405" spans="1:24" x14ac:dyDescent="0.2">
      <c r="A405" s="171"/>
      <c r="B405" s="21">
        <f t="shared" si="5"/>
        <v>3000</v>
      </c>
      <c r="C405" s="94">
        <v>8.6134074074074078</v>
      </c>
      <c r="D405"/>
      <c r="E405"/>
      <c r="F405"/>
      <c r="G405"/>
      <c r="H405" s="37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</row>
    <row r="406" spans="1:24" x14ac:dyDescent="0.2">
      <c r="A406" s="171"/>
      <c r="B406" s="21">
        <f t="shared" si="5"/>
        <v>3500</v>
      </c>
      <c r="C406" s="94">
        <v>8.0518359788359781</v>
      </c>
      <c r="D406"/>
      <c r="E406"/>
      <c r="F406"/>
      <c r="G406"/>
      <c r="H406" s="37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</row>
    <row r="407" spans="1:24" x14ac:dyDescent="0.2">
      <c r="A407" s="171"/>
      <c r="B407" s="21">
        <f t="shared" si="5"/>
        <v>4000</v>
      </c>
      <c r="C407" s="94">
        <v>7.6306574074074067</v>
      </c>
      <c r="D407"/>
      <c r="E407"/>
      <c r="F407"/>
      <c r="G407"/>
      <c r="H407" s="3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</row>
    <row r="408" spans="1:24" x14ac:dyDescent="0.2">
      <c r="A408" s="171"/>
      <c r="B408" s="21">
        <f t="shared" si="5"/>
        <v>4500</v>
      </c>
      <c r="C408" s="94">
        <v>7.3030740740740736</v>
      </c>
      <c r="D408"/>
      <c r="E408"/>
      <c r="F408"/>
      <c r="G408"/>
      <c r="H408" s="37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</row>
    <row r="409" spans="1:24" x14ac:dyDescent="0.2">
      <c r="A409" s="171"/>
      <c r="B409" s="21">
        <f t="shared" si="5"/>
        <v>5000</v>
      </c>
      <c r="C409" s="94">
        <v>7.0410074074074069</v>
      </c>
      <c r="D409"/>
      <c r="E409"/>
      <c r="F409"/>
      <c r="G409"/>
      <c r="H409" s="37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</row>
    <row r="410" spans="1:24" x14ac:dyDescent="0.2">
      <c r="A410" s="171"/>
      <c r="B410" s="21">
        <f t="shared" si="5"/>
        <v>5500</v>
      </c>
      <c r="C410" s="94">
        <v>6.8265892255892258</v>
      </c>
      <c r="D410"/>
      <c r="E410"/>
      <c r="F410"/>
      <c r="G410"/>
      <c r="H410" s="37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</row>
    <row r="411" spans="1:24" x14ac:dyDescent="0.2">
      <c r="A411" s="171"/>
      <c r="B411" s="21">
        <f t="shared" si="5"/>
        <v>6000</v>
      </c>
      <c r="C411" s="94">
        <v>6.6479074074074065</v>
      </c>
      <c r="D411"/>
      <c r="E411"/>
      <c r="F411"/>
      <c r="G411"/>
      <c r="H411" s="37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</row>
    <row r="412" spans="1:24" x14ac:dyDescent="0.2">
      <c r="A412" s="171"/>
      <c r="B412" s="21">
        <f t="shared" si="5"/>
        <v>6500</v>
      </c>
      <c r="C412" s="94">
        <v>6.4967150997150984</v>
      </c>
      <c r="D412"/>
      <c r="E412"/>
      <c r="F412"/>
      <c r="G412"/>
      <c r="H412" s="37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</row>
    <row r="413" spans="1:24" x14ac:dyDescent="0.2">
      <c r="A413" s="171"/>
      <c r="B413" s="21">
        <f t="shared" si="5"/>
        <v>7000</v>
      </c>
      <c r="C413" s="94">
        <v>6.3671216931216925</v>
      </c>
      <c r="D413"/>
      <c r="E413"/>
      <c r="F413"/>
      <c r="G413"/>
      <c r="H413" s="37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</row>
    <row r="414" spans="1:24" x14ac:dyDescent="0.2">
      <c r="A414" s="171"/>
      <c r="B414" s="21">
        <f t="shared" si="5"/>
        <v>7500</v>
      </c>
      <c r="C414" s="94">
        <v>6.2548074074074069</v>
      </c>
      <c r="D414"/>
      <c r="E414"/>
      <c r="F414"/>
      <c r="G414"/>
      <c r="H414" s="37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</row>
    <row r="415" spans="1:24" x14ac:dyDescent="0.2">
      <c r="A415" s="171"/>
      <c r="B415" s="21">
        <f t="shared" si="5"/>
        <v>8000</v>
      </c>
      <c r="C415" s="94">
        <v>6.1565324074074077</v>
      </c>
      <c r="D415"/>
      <c r="E415"/>
      <c r="F415"/>
      <c r="G415"/>
      <c r="H415" s="37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</row>
    <row r="416" spans="1:24" x14ac:dyDescent="0.2">
      <c r="A416" s="171"/>
      <c r="B416" s="21">
        <f t="shared" si="5"/>
        <v>8500</v>
      </c>
      <c r="C416" s="94">
        <v>6.0698191721132897</v>
      </c>
      <c r="D416"/>
      <c r="E416"/>
      <c r="F416"/>
      <c r="G416"/>
      <c r="H416" s="37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</row>
    <row r="417" spans="1:24" x14ac:dyDescent="0.2">
      <c r="A417" s="171"/>
      <c r="B417" s="21">
        <f t="shared" si="5"/>
        <v>9000</v>
      </c>
      <c r="C417" s="94">
        <v>5.9927407407407403</v>
      </c>
      <c r="D417"/>
      <c r="E417"/>
      <c r="F417"/>
      <c r="G417"/>
      <c r="H417" s="3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</row>
    <row r="418" spans="1:24" x14ac:dyDescent="0.2">
      <c r="A418" s="171"/>
      <c r="B418" s="21">
        <f t="shared" si="5"/>
        <v>9500</v>
      </c>
      <c r="C418" s="94">
        <v>5.9237758284600392</v>
      </c>
      <c r="D418"/>
      <c r="E418"/>
      <c r="F418"/>
      <c r="G418"/>
      <c r="H418" s="37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</row>
    <row r="419" spans="1:24" x14ac:dyDescent="0.2">
      <c r="A419" s="171"/>
      <c r="B419" s="21">
        <f t="shared" ref="B419" si="6">B418+500</f>
        <v>10000</v>
      </c>
      <c r="C419" s="94">
        <v>5.8617074074074074</v>
      </c>
      <c r="D419"/>
      <c r="E419"/>
      <c r="F419"/>
      <c r="G419"/>
      <c r="H419" s="37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</row>
    <row r="420" spans="1:24" x14ac:dyDescent="0.2">
      <c r="A420" s="171"/>
      <c r="B420" s="21">
        <f t="shared" ref="B420:B431" si="7">B419+2500</f>
        <v>12500</v>
      </c>
      <c r="C420" s="94">
        <v>5.6258474074074067</v>
      </c>
      <c r="D420"/>
      <c r="E420"/>
      <c r="F420"/>
      <c r="G420"/>
      <c r="H420" s="37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</row>
    <row r="421" spans="1:24" x14ac:dyDescent="0.2">
      <c r="A421" s="171"/>
      <c r="B421" s="21">
        <f t="shared" si="7"/>
        <v>15000</v>
      </c>
      <c r="C421" s="94">
        <v>5.4686074074074069</v>
      </c>
      <c r="D421"/>
      <c r="E421"/>
      <c r="F421"/>
      <c r="G421"/>
      <c r="H421" s="37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</row>
    <row r="422" spans="1:24" x14ac:dyDescent="0.2">
      <c r="A422" s="171"/>
      <c r="B422" s="21">
        <f t="shared" si="7"/>
        <v>17500</v>
      </c>
      <c r="C422" s="94">
        <v>5.3562931216931222</v>
      </c>
      <c r="D422"/>
      <c r="E422"/>
      <c r="F422"/>
      <c r="G422"/>
      <c r="H422" s="37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</row>
    <row r="423" spans="1:24" x14ac:dyDescent="0.2">
      <c r="A423" s="171"/>
      <c r="B423" s="21">
        <f t="shared" si="7"/>
        <v>20000</v>
      </c>
      <c r="C423" s="94">
        <v>5.2720574074074076</v>
      </c>
      <c r="D423"/>
      <c r="E423"/>
      <c r="F423"/>
      <c r="G423"/>
      <c r="H423" s="37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</row>
    <row r="424" spans="1:24" x14ac:dyDescent="0.2">
      <c r="A424" s="171"/>
      <c r="B424" s="21">
        <f t="shared" si="7"/>
        <v>22500</v>
      </c>
      <c r="C424" s="94">
        <v>5.2065407407407402</v>
      </c>
      <c r="D424"/>
      <c r="E424"/>
      <c r="F424"/>
      <c r="G424"/>
      <c r="H424" s="37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</row>
    <row r="425" spans="1:24" x14ac:dyDescent="0.2">
      <c r="A425" s="171"/>
      <c r="B425" s="21">
        <f t="shared" si="7"/>
        <v>25000</v>
      </c>
      <c r="C425" s="94">
        <v>5.1541274074074064</v>
      </c>
      <c r="D425"/>
      <c r="E425"/>
      <c r="F425"/>
      <c r="G425"/>
      <c r="H425" s="37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</row>
    <row r="426" spans="1:24" x14ac:dyDescent="0.2">
      <c r="A426" s="171"/>
      <c r="B426" s="21">
        <f t="shared" si="7"/>
        <v>27500</v>
      </c>
      <c r="C426" s="94">
        <v>5.1112437710437701</v>
      </c>
      <c r="D426"/>
      <c r="E426"/>
      <c r="F426"/>
      <c r="G426"/>
      <c r="H426" s="37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</row>
    <row r="427" spans="1:24" x14ac:dyDescent="0.2">
      <c r="A427" s="171"/>
      <c r="B427" s="21">
        <f t="shared" si="7"/>
        <v>30000</v>
      </c>
      <c r="C427" s="94">
        <v>5.0755074074074065</v>
      </c>
      <c r="D427"/>
      <c r="E427"/>
      <c r="F427"/>
      <c r="G427"/>
      <c r="H427" s="3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</row>
    <row r="428" spans="1:24" x14ac:dyDescent="0.2">
      <c r="A428" s="171"/>
      <c r="B428" s="21">
        <f t="shared" si="7"/>
        <v>32500</v>
      </c>
      <c r="C428" s="94">
        <v>5.0452689458689459</v>
      </c>
      <c r="D428"/>
      <c r="E428"/>
      <c r="F428"/>
      <c r="G428"/>
      <c r="H428" s="37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</row>
    <row r="429" spans="1:24" x14ac:dyDescent="0.2">
      <c r="A429" s="171"/>
      <c r="B429" s="21">
        <f t="shared" si="7"/>
        <v>35000</v>
      </c>
      <c r="C429" s="94">
        <v>5.0193502645502646</v>
      </c>
      <c r="D429"/>
      <c r="E429"/>
      <c r="F429"/>
      <c r="G429"/>
      <c r="H429" s="37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</row>
    <row r="430" spans="1:24" x14ac:dyDescent="0.2">
      <c r="A430" s="171"/>
      <c r="B430" s="21">
        <f t="shared" si="7"/>
        <v>37500</v>
      </c>
      <c r="C430" s="94">
        <v>4.9968874074074074</v>
      </c>
      <c r="D430"/>
      <c r="E430"/>
      <c r="F430"/>
      <c r="G430"/>
      <c r="H430" s="37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</row>
    <row r="431" spans="1:24" ht="13.5" thickBot="1" x14ac:dyDescent="0.25">
      <c r="A431" s="171"/>
      <c r="B431" s="22">
        <f t="shared" si="7"/>
        <v>40000</v>
      </c>
      <c r="C431" s="98">
        <v>4.9772324074074072</v>
      </c>
      <c r="D431"/>
      <c r="E431"/>
      <c r="F431"/>
      <c r="G431"/>
      <c r="H431" s="37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</row>
    <row r="432" spans="1:24" x14ac:dyDescent="0.2">
      <c r="A432"/>
      <c r="B432"/>
      <c r="C432"/>
      <c r="D432"/>
      <c r="E432" t="s">
        <v>0</v>
      </c>
      <c r="F432"/>
      <c r="G432"/>
      <c r="H432" s="37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</row>
    <row r="433" spans="1:24" x14ac:dyDescent="0.2">
      <c r="A433"/>
      <c r="B433"/>
      <c r="C433"/>
      <c r="D433"/>
      <c r="E433"/>
      <c r="F433"/>
      <c r="G433"/>
      <c r="H433" s="37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</row>
    <row r="434" spans="1:24" x14ac:dyDescent="0.2">
      <c r="A434"/>
      <c r="B434"/>
      <c r="C434"/>
      <c r="D434"/>
      <c r="E434"/>
      <c r="F434"/>
      <c r="G434"/>
      <c r="H434" s="37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</row>
    <row r="435" spans="1:24" x14ac:dyDescent="0.2">
      <c r="A435"/>
      <c r="B435"/>
      <c r="C435"/>
      <c r="D435"/>
      <c r="E435"/>
      <c r="F435"/>
      <c r="G435"/>
      <c r="H435" s="37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</row>
    <row r="436" spans="1:24" x14ac:dyDescent="0.2">
      <c r="A436"/>
      <c r="B436"/>
      <c r="C436"/>
      <c r="D436"/>
      <c r="E436"/>
      <c r="F436"/>
      <c r="G436"/>
      <c r="H436" s="37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</row>
    <row r="437" spans="1:24" x14ac:dyDescent="0.2">
      <c r="A437"/>
      <c r="B437"/>
      <c r="C437"/>
      <c r="D437"/>
      <c r="E437"/>
      <c r="F437"/>
      <c r="G437"/>
      <c r="H437" s="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</row>
    <row r="438" spans="1:24" x14ac:dyDescent="0.2">
      <c r="A438"/>
      <c r="B438"/>
      <c r="C438"/>
      <c r="D438"/>
      <c r="E438"/>
      <c r="F438"/>
      <c r="G438"/>
      <c r="H438" s="37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</row>
    <row r="439" spans="1:24" x14ac:dyDescent="0.2">
      <c r="A439"/>
      <c r="B439"/>
      <c r="C439"/>
      <c r="D439"/>
      <c r="E439"/>
      <c r="F439"/>
      <c r="G439"/>
      <c r="H439" s="37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</row>
    <row r="440" spans="1:24" ht="13.5" thickBot="1" x14ac:dyDescent="0.25">
      <c r="A440"/>
      <c r="B440"/>
      <c r="C440"/>
      <c r="D440"/>
      <c r="E440"/>
      <c r="F440"/>
      <c r="G440"/>
      <c r="H440" s="37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</row>
    <row r="441" spans="1:24" x14ac:dyDescent="0.2">
      <c r="A441"/>
      <c r="B441" s="128" t="s">
        <v>186</v>
      </c>
      <c r="C441" s="129" t="s">
        <v>182</v>
      </c>
      <c r="D441" s="124"/>
      <c r="E441"/>
      <c r="F441"/>
      <c r="G441"/>
      <c r="H441" s="37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</row>
    <row r="442" spans="1:24" ht="13.5" thickBot="1" x14ac:dyDescent="0.25">
      <c r="A442"/>
      <c r="B442" s="133">
        <f>F22</f>
        <v>10.662927178119812</v>
      </c>
      <c r="C442" s="127">
        <v>86</v>
      </c>
      <c r="D442"/>
      <c r="E442"/>
      <c r="F442"/>
      <c r="G442"/>
      <c r="H442" s="37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</row>
    <row r="443" spans="1:24" x14ac:dyDescent="0.2">
      <c r="A443"/>
      <c r="B443" s="132">
        <v>1000</v>
      </c>
      <c r="C443" s="138">
        <f t="dataTable" ref="C443:C474" dt2D="1" dtr="1" r1="E22" r2="C22"/>
        <v>20.742927178119814</v>
      </c>
      <c r="D443"/>
      <c r="E443"/>
      <c r="F443"/>
      <c r="G443"/>
      <c r="H443" s="37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</row>
    <row r="444" spans="1:24" x14ac:dyDescent="0.2">
      <c r="A444"/>
      <c r="B444" s="125">
        <f>B443+500</f>
        <v>1500</v>
      </c>
      <c r="C444" s="131">
        <v>17.00959384478648</v>
      </c>
      <c r="D444"/>
      <c r="E444"/>
      <c r="F444"/>
      <c r="G444"/>
      <c r="H444" s="37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</row>
    <row r="445" spans="1:24" x14ac:dyDescent="0.2">
      <c r="A445"/>
      <c r="B445" s="125">
        <f t="shared" ref="B445:B461" si="8">B444+500</f>
        <v>2000</v>
      </c>
      <c r="C445" s="131">
        <v>15.142927178119812</v>
      </c>
      <c r="D445"/>
      <c r="E445"/>
      <c r="F445"/>
      <c r="G445"/>
      <c r="H445" s="37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</row>
    <row r="446" spans="1:24" x14ac:dyDescent="0.2">
      <c r="A446"/>
      <c r="B446" s="125">
        <f t="shared" si="8"/>
        <v>2500</v>
      </c>
      <c r="C446" s="131">
        <v>14.022927178119813</v>
      </c>
      <c r="D446"/>
      <c r="E446"/>
      <c r="F446"/>
      <c r="G446"/>
      <c r="H446" s="37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</row>
    <row r="447" spans="1:24" x14ac:dyDescent="0.2">
      <c r="A447"/>
      <c r="B447" s="125">
        <f t="shared" si="8"/>
        <v>3000</v>
      </c>
      <c r="C447" s="131">
        <v>13.276260511453145</v>
      </c>
      <c r="D447"/>
      <c r="E447"/>
      <c r="F447"/>
      <c r="G447"/>
      <c r="H447" s="3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</row>
    <row r="448" spans="1:24" x14ac:dyDescent="0.2">
      <c r="A448"/>
      <c r="B448" s="125">
        <f t="shared" si="8"/>
        <v>3500</v>
      </c>
      <c r="C448" s="131">
        <v>12.742927178119814</v>
      </c>
      <c r="D448"/>
      <c r="E448"/>
      <c r="F448"/>
      <c r="G448"/>
      <c r="H448" s="37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</row>
    <row r="449" spans="1:24" x14ac:dyDescent="0.2">
      <c r="A449"/>
      <c r="B449" s="125">
        <f t="shared" si="8"/>
        <v>4000</v>
      </c>
      <c r="C449" s="131">
        <v>12.342927178119812</v>
      </c>
      <c r="D449"/>
      <c r="E449"/>
      <c r="F449"/>
      <c r="G449"/>
      <c r="H449" s="37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</row>
    <row r="450" spans="1:24" x14ac:dyDescent="0.2">
      <c r="A450"/>
      <c r="B450" s="125">
        <f t="shared" si="8"/>
        <v>4500</v>
      </c>
      <c r="C450" s="131">
        <v>12.031816067008702</v>
      </c>
      <c r="D450"/>
      <c r="E450"/>
      <c r="F450"/>
      <c r="G450"/>
      <c r="H450" s="37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</row>
    <row r="451" spans="1:24" x14ac:dyDescent="0.2">
      <c r="A451"/>
      <c r="B451" s="125">
        <f t="shared" si="8"/>
        <v>5000</v>
      </c>
      <c r="C451" s="131">
        <v>11.782927178119813</v>
      </c>
      <c r="D451"/>
      <c r="H451" s="37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</row>
    <row r="452" spans="1:24" x14ac:dyDescent="0.2">
      <c r="A452"/>
      <c r="B452" s="125">
        <f t="shared" si="8"/>
        <v>5500</v>
      </c>
      <c r="C452" s="131">
        <v>11.579290814483448</v>
      </c>
      <c r="D452"/>
      <c r="H452" s="37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</row>
    <row r="453" spans="1:24" x14ac:dyDescent="0.2">
      <c r="A453"/>
      <c r="B453" s="125">
        <f t="shared" si="8"/>
        <v>6000</v>
      </c>
      <c r="C453" s="131">
        <v>11.40959384478648</v>
      </c>
      <c r="D453"/>
      <c r="H453" s="37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</row>
    <row r="454" spans="1:24" x14ac:dyDescent="0.2">
      <c r="A454"/>
      <c r="B454" s="125">
        <f t="shared" si="8"/>
        <v>6500</v>
      </c>
      <c r="C454" s="131">
        <v>11.266004101196737</v>
      </c>
      <c r="D454"/>
      <c r="H454" s="37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</row>
    <row r="455" spans="1:24" x14ac:dyDescent="0.2">
      <c r="A455"/>
      <c r="B455" s="125">
        <f t="shared" si="8"/>
        <v>7000</v>
      </c>
      <c r="C455" s="131">
        <v>11.142927178119812</v>
      </c>
      <c r="D455"/>
      <c r="H455" s="37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</row>
    <row r="456" spans="1:24" x14ac:dyDescent="0.2">
      <c r="A456"/>
      <c r="B456" s="125">
        <f t="shared" si="8"/>
        <v>7500</v>
      </c>
      <c r="C456" s="131">
        <v>11.036260511453147</v>
      </c>
      <c r="D456"/>
      <c r="H456" s="37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</row>
    <row r="457" spans="1:24" x14ac:dyDescent="0.2">
      <c r="A457"/>
      <c r="B457" s="125">
        <f t="shared" si="8"/>
        <v>8000</v>
      </c>
      <c r="C457" s="131">
        <v>10.942927178119813</v>
      </c>
      <c r="D457"/>
      <c r="H457" s="3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</row>
    <row r="458" spans="1:24" x14ac:dyDescent="0.2">
      <c r="A458"/>
      <c r="B458" s="125">
        <f t="shared" si="8"/>
        <v>8500</v>
      </c>
      <c r="C458" s="131">
        <v>10.860574236943343</v>
      </c>
      <c r="D458"/>
      <c r="E458"/>
      <c r="F458"/>
      <c r="G458"/>
      <c r="H458" s="37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</row>
    <row r="459" spans="1:24" x14ac:dyDescent="0.2">
      <c r="A459"/>
      <c r="B459" s="125">
        <f t="shared" si="8"/>
        <v>9000</v>
      </c>
      <c r="C459" s="131">
        <v>10.787371622564256</v>
      </c>
      <c r="D459"/>
      <c r="E459"/>
      <c r="F459"/>
      <c r="G459"/>
      <c r="H459" s="37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</row>
    <row r="460" spans="1:24" x14ac:dyDescent="0.2">
      <c r="A460"/>
      <c r="B460" s="125">
        <f t="shared" si="8"/>
        <v>9500</v>
      </c>
      <c r="C460" s="131">
        <v>10.721874546540866</v>
      </c>
      <c r="D460"/>
      <c r="E460"/>
      <c r="F460"/>
      <c r="G460"/>
      <c r="H460" s="37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</row>
    <row r="461" spans="1:24" x14ac:dyDescent="0.2">
      <c r="A461"/>
      <c r="B461" s="125">
        <f t="shared" si="8"/>
        <v>10000</v>
      </c>
      <c r="C461" s="131">
        <v>10.662927178119812</v>
      </c>
      <c r="D461"/>
      <c r="E461"/>
      <c r="F461"/>
      <c r="G461"/>
      <c r="H461" s="37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</row>
    <row r="462" spans="1:24" x14ac:dyDescent="0.2">
      <c r="A462"/>
      <c r="B462" s="125">
        <f>B461+1000</f>
        <v>11000</v>
      </c>
      <c r="C462" s="131">
        <v>10.56110899630163</v>
      </c>
      <c r="D462"/>
      <c r="E462"/>
      <c r="F462"/>
      <c r="G462"/>
      <c r="H462" s="37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</row>
    <row r="463" spans="1:24" x14ac:dyDescent="0.2">
      <c r="A463"/>
      <c r="B463" s="125">
        <f t="shared" ref="B463:B474" si="9">B462+1000</f>
        <v>12000</v>
      </c>
      <c r="C463" s="131">
        <v>10.476260511453146</v>
      </c>
      <c r="D463"/>
      <c r="E463"/>
      <c r="F463"/>
      <c r="G463"/>
      <c r="H463" s="37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</row>
    <row r="464" spans="1:24" x14ac:dyDescent="0.2">
      <c r="B464" s="125">
        <f t="shared" si="9"/>
        <v>13000</v>
      </c>
      <c r="C464" s="131">
        <v>10.404465639658275</v>
      </c>
      <c r="D464"/>
    </row>
    <row r="465" spans="2:4" x14ac:dyDescent="0.2">
      <c r="B465" s="125">
        <f t="shared" si="9"/>
        <v>14000</v>
      </c>
      <c r="C465" s="131">
        <v>10.342927178119812</v>
      </c>
      <c r="D465"/>
    </row>
    <row r="466" spans="2:4" x14ac:dyDescent="0.2">
      <c r="B466" s="125">
        <f t="shared" si="9"/>
        <v>15000</v>
      </c>
      <c r="C466" s="131">
        <v>10.289593844786479</v>
      </c>
      <c r="D466"/>
    </row>
    <row r="467" spans="2:4" x14ac:dyDescent="0.2">
      <c r="B467" s="125">
        <f t="shared" si="9"/>
        <v>16000</v>
      </c>
      <c r="C467" s="131">
        <v>10.242927178119814</v>
      </c>
      <c r="D467"/>
    </row>
    <row r="468" spans="2:4" x14ac:dyDescent="0.2">
      <c r="B468" s="125">
        <f t="shared" si="9"/>
        <v>17000</v>
      </c>
      <c r="C468" s="131">
        <v>10.201750707531577</v>
      </c>
      <c r="D468"/>
    </row>
    <row r="469" spans="2:4" x14ac:dyDescent="0.2">
      <c r="B469" s="125">
        <f t="shared" si="9"/>
        <v>18000</v>
      </c>
      <c r="C469" s="131">
        <v>10.165149400342035</v>
      </c>
      <c r="D469"/>
    </row>
    <row r="470" spans="2:4" x14ac:dyDescent="0.2">
      <c r="B470" s="125">
        <f t="shared" si="9"/>
        <v>19000</v>
      </c>
      <c r="C470" s="131">
        <v>10.132400862330339</v>
      </c>
      <c r="D470"/>
    </row>
    <row r="471" spans="2:4" x14ac:dyDescent="0.2">
      <c r="B471" s="125">
        <f t="shared" si="9"/>
        <v>20000</v>
      </c>
      <c r="C471" s="131">
        <v>10.102927178119813</v>
      </c>
      <c r="D471"/>
    </row>
    <row r="472" spans="2:4" x14ac:dyDescent="0.2">
      <c r="B472" s="125">
        <f t="shared" si="9"/>
        <v>21000</v>
      </c>
      <c r="C472" s="131">
        <v>10.076260511453146</v>
      </c>
      <c r="D472"/>
    </row>
    <row r="473" spans="2:4" x14ac:dyDescent="0.2">
      <c r="B473" s="125">
        <f t="shared" si="9"/>
        <v>22000</v>
      </c>
      <c r="C473" s="131">
        <v>10.052018087210723</v>
      </c>
      <c r="D473"/>
    </row>
    <row r="474" spans="2:4" ht="13.5" thickBot="1" x14ac:dyDescent="0.25">
      <c r="B474" s="126">
        <f t="shared" si="9"/>
        <v>23000</v>
      </c>
      <c r="C474" s="135">
        <v>10.029883699858944</v>
      </c>
      <c r="D474"/>
    </row>
    <row r="475" spans="2:4" x14ac:dyDescent="0.2">
      <c r="B475" s="6"/>
    </row>
    <row r="476" spans="2:4" x14ac:dyDescent="0.2">
      <c r="B476" s="6"/>
    </row>
    <row r="477" spans="2:4" x14ac:dyDescent="0.2">
      <c r="B477" s="6"/>
    </row>
    <row r="478" spans="2:4" x14ac:dyDescent="0.2">
      <c r="B478" s="6"/>
    </row>
    <row r="479" spans="2:4" x14ac:dyDescent="0.2">
      <c r="B479" s="6"/>
    </row>
    <row r="480" spans="2:4" x14ac:dyDescent="0.2">
      <c r="B480" s="6"/>
    </row>
    <row r="481" spans="2:2" x14ac:dyDescent="0.2">
      <c r="B481" s="6"/>
    </row>
    <row r="482" spans="2:2" x14ac:dyDescent="0.2">
      <c r="B482" s="6"/>
    </row>
    <row r="483" spans="2:2" x14ac:dyDescent="0.2">
      <c r="B483" s="6"/>
    </row>
    <row r="484" spans="2:2" x14ac:dyDescent="0.2">
      <c r="B484" s="6"/>
    </row>
    <row r="485" spans="2:2" x14ac:dyDescent="0.2">
      <c r="B485" s="6"/>
    </row>
    <row r="486" spans="2:2" x14ac:dyDescent="0.2">
      <c r="B486" s="6"/>
    </row>
    <row r="487" spans="2:2" x14ac:dyDescent="0.2">
      <c r="B487" s="6"/>
    </row>
    <row r="488" spans="2:2" x14ac:dyDescent="0.2">
      <c r="B488" s="6"/>
    </row>
    <row r="489" spans="2:2" x14ac:dyDescent="0.2">
      <c r="B489" s="6"/>
    </row>
    <row r="490" spans="2:2" x14ac:dyDescent="0.2">
      <c r="B490" s="6"/>
    </row>
    <row r="491" spans="2:2" x14ac:dyDescent="0.2">
      <c r="B491" s="6"/>
    </row>
    <row r="492" spans="2:2" x14ac:dyDescent="0.2">
      <c r="B492" s="6"/>
    </row>
    <row r="493" spans="2:2" x14ac:dyDescent="0.2">
      <c r="B493" s="6"/>
    </row>
    <row r="494" spans="2:2" x14ac:dyDescent="0.2">
      <c r="B494" s="6"/>
    </row>
    <row r="495" spans="2:2" x14ac:dyDescent="0.2">
      <c r="B495" s="6"/>
    </row>
    <row r="496" spans="2:2" x14ac:dyDescent="0.2">
      <c r="B496" s="6"/>
    </row>
    <row r="497" spans="2:2" x14ac:dyDescent="0.2">
      <c r="B497" s="6"/>
    </row>
    <row r="498" spans="2:2" x14ac:dyDescent="0.2">
      <c r="B498" s="6"/>
    </row>
    <row r="499" spans="2:2" x14ac:dyDescent="0.2">
      <c r="B499" s="6"/>
    </row>
    <row r="500" spans="2:2" x14ac:dyDescent="0.2">
      <c r="B500" s="6"/>
    </row>
    <row r="501" spans="2:2" x14ac:dyDescent="0.2">
      <c r="B501" s="6"/>
    </row>
    <row r="502" spans="2:2" x14ac:dyDescent="0.2">
      <c r="B502" s="6"/>
    </row>
    <row r="503" spans="2:2" x14ac:dyDescent="0.2">
      <c r="B503" s="6"/>
    </row>
    <row r="504" spans="2:2" x14ac:dyDescent="0.2">
      <c r="B504" s="6"/>
    </row>
    <row r="505" spans="2:2" x14ac:dyDescent="0.2">
      <c r="B505" s="6"/>
    </row>
    <row r="506" spans="2:2" x14ac:dyDescent="0.2">
      <c r="B506" s="6"/>
    </row>
    <row r="507" spans="2:2" x14ac:dyDescent="0.2">
      <c r="B507" s="6"/>
    </row>
    <row r="508" spans="2:2" x14ac:dyDescent="0.2">
      <c r="B508" s="6"/>
    </row>
    <row r="509" spans="2:2" x14ac:dyDescent="0.2">
      <c r="B509" s="6"/>
    </row>
    <row r="510" spans="2:2" x14ac:dyDescent="0.2">
      <c r="B510" s="6"/>
    </row>
    <row r="511" spans="2:2" x14ac:dyDescent="0.2">
      <c r="B511" s="6"/>
    </row>
    <row r="512" spans="2:2" x14ac:dyDescent="0.2">
      <c r="B512" s="6"/>
    </row>
    <row r="513" spans="2:2" x14ac:dyDescent="0.2">
      <c r="B513" s="6"/>
    </row>
    <row r="514" spans="2:2" x14ac:dyDescent="0.2">
      <c r="B514" s="6"/>
    </row>
  </sheetData>
  <mergeCells count="11">
    <mergeCell ref="A401:A431"/>
    <mergeCell ref="B398:D398"/>
    <mergeCell ref="B141:B143"/>
    <mergeCell ref="B181:G181"/>
    <mergeCell ref="D2:G2"/>
    <mergeCell ref="D5:E6"/>
    <mergeCell ref="B134:B139"/>
    <mergeCell ref="F5:G6"/>
    <mergeCell ref="B116:B125"/>
    <mergeCell ref="B127:B133"/>
    <mergeCell ref="B104:B112"/>
  </mergeCells>
  <dataValidations count="10">
    <dataValidation type="list" allowBlank="1" showInputMessage="1" showErrorMessage="1" sqref="B351">
      <formula1>$C$355:$D$355</formula1>
    </dataValidation>
    <dataValidation type="list" allowBlank="1" showInputMessage="1" showErrorMessage="1" sqref="C66">
      <formula1>"121,122"</formula1>
    </dataValidation>
    <dataValidation type="list" allowBlank="1" showInputMessage="1" showErrorMessage="1" sqref="D111">
      <formula1>"0,365"</formula1>
    </dataValidation>
    <dataValidation type="list" allowBlank="1" showInputMessage="1" showErrorMessage="1" sqref="C279">
      <formula1>"0,=Foderdage_slagtesvin"</formula1>
    </dataValidation>
    <dataValidation type="list" allowBlank="1" showInputMessage="1" showErrorMessage="1" sqref="C161">
      <mc:AlternateContent xmlns:x12ac="http://schemas.microsoft.com/office/spreadsheetml/2011/1/ac" xmlns:mc="http://schemas.openxmlformats.org/markup-compatibility/2006">
        <mc:Choice Requires="x12ac">
          <x12ac:list>"0,23","0,24","0,25","0,26","0,27","0,28","0,29","0,3 ","0,31","0,32","0,33","0,34","0,35","0,36","0,37","0,38","0,39","0,4"</x12ac:list>
        </mc:Choice>
        <mc:Fallback>
          <formula1>"0,23,0,24,0,25,0,26,0,27,0,28,0,29,0,3 ,0,31,0,32,0,33,0,34,0,35,0,36,0,37,0,38,0,39,0,4"</formula1>
        </mc:Fallback>
      </mc:AlternateContent>
    </dataValidation>
    <dataValidation type="list" allowBlank="1" showInputMessage="1" showErrorMessage="1" sqref="C199">
      <formula1>"0,=Foderdager_smågrise"</formula1>
    </dataValidation>
    <dataValidation type="list" allowBlank="1" showInputMessage="1" showErrorMessage="1" sqref="C196 C192:C193 C277 D128">
      <formula1>"0,1"</formula1>
    </dataValidation>
    <dataValidation type="decimal" allowBlank="1" showInputMessage="1" showErrorMessage="1" error="Mellem 0 og 1" sqref="C195">
      <formula1>0</formula1>
      <formula2>1</formula2>
    </dataValidation>
    <dataValidation type="list" allowBlank="1" showInputMessage="1" showErrorMessage="1" sqref="C235">
      <mc:AlternateContent xmlns:x12ac="http://schemas.microsoft.com/office/spreadsheetml/2011/1/ac" xmlns:mc="http://schemas.openxmlformats.org/markup-compatibility/2006">
        <mc:Choice Requires="x12ac">
          <x12ac:list>"0,55","0,56","0,57","0,58","0,59","0,60","0,61","0,62","0,63","0,64","0,65","0,66","0,67","0,68","0,69","0,70","0,71","0,72","0,73","0,74","0,75","0,76","0,77","0,78","0,79","0,80","0,81","0,82","0,83","0,84","0,,85"</x12ac:list>
        </mc:Choice>
        <mc:Fallback>
          <formula1>"0,55,0,56,0,57,0,58,0,59,0,60,0,61,0,62,0,63,0,64,0,65,0,66,0,67,0,68,0,69,0,70,0,71,0,72,0,73,0,74,0,75,0,76,0,77,0,78,0,79,0,80,0,81,0,82,0,83,0,84,0,,85"</formula1>
        </mc:Fallback>
      </mc:AlternateContent>
    </dataValidation>
    <dataValidation type="list" allowBlank="1" showInputMessage="1" showErrorMessage="1" sqref="D138">
      <mc:AlternateContent xmlns:x12ac="http://schemas.microsoft.com/office/spreadsheetml/2011/1/ac" xmlns:mc="http://schemas.openxmlformats.org/markup-compatibility/2006">
        <mc:Choice Requires="x12ac">
          <x12ac:list>0,"0,5"</x12ac:list>
        </mc:Choice>
        <mc:Fallback>
          <formula1>"0,0,5"</formula1>
        </mc:Fallback>
      </mc:AlternateContent>
    </dataValidation>
  </dataValidations>
  <hyperlinks>
    <hyperlink ref="B3" location="Årlig_produktions_oplysninger" display="Årlig produktions oplysninger bedrift"/>
    <hyperlink ref="B4" location="Standardværdier" display="Standardværdier tid"/>
    <hyperlink ref="B5" location="Oplysninger_produktion_søer" display="Oplysninger produktion søer"/>
    <hyperlink ref="B6" location="Arbejdstidstabel_søer" display="Arbejdstidstabel søer"/>
    <hyperlink ref="C3" location="Oplysninger_produktion_smågrise" display="Oplysninger produktion smågrise"/>
    <hyperlink ref="C4" location="Arbejdstidstabel_smågrise" display="Arbejdstidstabel smågrise"/>
    <hyperlink ref="C5" location="Oplysninger_produktion_slagtesvin" display="Oplysninger produktion slagtesvin"/>
    <hyperlink ref="C6" location="Arbejdstidstabel_slagtesvin" display="Arbejdstidstabel slagtesvin"/>
    <hyperlink ref="E3" r:id="rId1"/>
  </hyperlinks>
  <pageMargins left="0.75" right="0.75" top="1" bottom="1" header="0" footer="0"/>
  <pageSetup paperSize="9" scale="10" orientation="portrait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60" workbookViewId="0">
      <selection activeCell="R70" sqref="R70"/>
    </sheetView>
  </sheetViews>
  <sheetFormatPr defaultRowHeight="12.75" x14ac:dyDescent="0.2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03eeafb-7dff-46db-9396-e9c651f530ea">LBINFO-937041975-21367</_dlc_DocId>
    <_dlc_DocIdUrl xmlns="303eeafb-7dff-46db-9396-e9c651f530ea">
      <Url>https://sp.landbrugsinfo.dk/Afrapportering/innovation/2018/_layouts/DocIdRedir.aspx?ID=LBINFO-937041975-21367</Url>
      <Description>LBINFO-937041975-21367</Description>
    </_dlc_DocIdUrl>
    <DynamicPublishingContent11 xmlns="http://schemas.microsoft.com/sharepoint/v3" xsi:nil="true"/>
    <DynamicPublishingContent14 xmlns="http://schemas.microsoft.com/sharepoint/v3" xsi:nil="true"/>
    <Rettighedsgruppe xmlns="fc0fdba4-151c-4e55-9dcc-4c0be9bb72c9">1</Rettighedsgruppe>
    <WebInfoMultiSelect xmlns="fc0fdba4-151c-4e55-9dcc-4c0be9bb72c9" xsi:nil="true"/>
    <PublishingRollupImage xmlns="http://schemas.microsoft.com/sharepoint/v3" xsi:nil="true"/>
    <Revisionsdato xmlns="5aa14257-579e-4a1f-bbbb-3c8dd7393476">2018-12-19T12:35:00+00:00</Revisionsdato>
    <DynamicPublishingContent5 xmlns="http://schemas.microsoft.com/sharepoint/v3" xsi:nil="true"/>
    <Projekter xmlns="fc0fdba4-151c-4e55-9dcc-4c0be9bb72c9" xsi:nil="true"/>
    <DynamicPublishingContent12 xmlns="http://schemas.microsoft.com/sharepoint/v3" xsi:nil="true"/>
    <PublishingContactEmail xmlns="http://schemas.microsoft.com/sharepoint/v3" xsi:nil="true"/>
    <HeaderStyleDefinitions xmlns="http://schemas.microsoft.com/sharepoint/v3" xsi:nil="true"/>
    <DynamicPublishingContent4 xmlns="http://schemas.microsoft.com/sharepoint/v3" xsi:nil="true"/>
    <WebInfoLawCodes xmlns="fc0fdba4-151c-4e55-9dcc-4c0be9bb72c9" xsi:nil="true"/>
    <Skribenter xmlns="5aa14257-579e-4a1f-bbbb-3c8dd7393476">
      <UserInfo>
        <DisplayName/>
        <AccountId xsi:nil="true"/>
        <AccountType/>
      </UserInfo>
    </Skribenter>
    <PublishingVariationRelationshipLinkFieldID xmlns="http://schemas.microsoft.com/sharepoint/v3">
      <Url xsi:nil="true"/>
      <Description xsi:nil="true"/>
    </PublishingVariationRelationshipLinkFieldID>
    <PublishingPageContent xmlns="http://schemas.microsoft.com/sharepoint/v3" xsi:nil="true"/>
    <EnclosureFor xmlns="fc0fdba4-151c-4e55-9dcc-4c0be9bb72c9">
      <Url xsi:nil="true"/>
      <Description xsi:nil="true"/>
    </EnclosureFor>
    <GammelURL xmlns="fc0fdba4-151c-4e55-9dcc-4c0be9bb72c9" xsi:nil="true"/>
    <DynamicPublishingContent7 xmlns="http://schemas.microsoft.com/sharepoint/v3" xsi:nil="true"/>
    <DynamicPublishingContent6 xmlns="http://schemas.microsoft.com/sharepoint/v3" xsi:nil="true"/>
    <Bekraeftelsesdato xmlns="5aa14257-579e-4a1f-bbbb-3c8dd7393476">2018-12-19T12:35:00+00:00</Bekraeftelsesdato>
    <DynamicPublishingContent1 xmlns="http://schemas.microsoft.com/sharepoint/v3" xsi:nil="true"/>
    <DynamicPublishingContent13 xmlns="http://schemas.microsoft.com/sharepoint/v3" xsi:nil="true"/>
    <TaksonomiTaxHTField0 xmlns="fc0fdba4-151c-4e55-9dcc-4c0be9bb72c9">
      <Terms xmlns="http://schemas.microsoft.com/office/infopath/2007/PartnerControls"/>
    </TaksonomiTaxHTField0>
    <PublishingVariationGroupID xmlns="http://schemas.microsoft.com/sharepoint/v3" xsi:nil="true"/>
    <ArticleStartDate xmlns="http://schemas.microsoft.com/sharepoint/v3">2018-12-19T12:37:14+00:00</ArticleStartDate>
    <Ansvarligafdeling xmlns="fc0fdba4-151c-4e55-9dcc-4c0be9bb72c9">52</Ansvarligafdeling>
    <Listekode xmlns="5aa14257-579e-4a1f-bbbb-3c8dd7393476" xsi:nil="true"/>
    <DynamicPublishingContent0 xmlns="http://schemas.microsoft.com/sharepoint/v3" xsi:nil="true"/>
    <ArticleByLine xmlns="http://schemas.microsoft.com/sharepoint/v3" xsi:nil="true"/>
    <PublishingImageCaption xmlns="http://schemas.microsoft.com/sharepoint/v3" xsi:nil="true"/>
    <Forfattere xmlns="5aa14257-579e-4a1f-bbbb-3c8dd7393476">
      <UserInfo>
        <DisplayName>i:0e.t|dlbr idp|001mgc@prod.dli</DisplayName>
        <AccountId>53509</AccountId>
        <AccountType/>
      </UserInfo>
    </Forfattere>
    <DynamicPublishingContent3 xmlns="http://schemas.microsoft.com/sharepoint/v3" xsi:nil="true"/>
    <Sorteringsorden xmlns="5aa14257-579e-4a1f-bbbb-3c8dd7393476" xsi:nil="true"/>
    <ProjectID xmlns="fc0fdba4-151c-4e55-9dcc-4c0be9bb72c9">X759X</ProjectID>
    <Audience xmlns="http://schemas.microsoft.com/sharepoint/v3" xsi:nil="true"/>
    <PublishingPageImage xmlns="http://schemas.microsoft.com/sharepoint/v3" xsi:nil="true"/>
    <DynamicPublishingContent2 xmlns="http://schemas.microsoft.com/sharepoint/v3" xsi:nil="true"/>
    <SummaryLinks xmlns="http://schemas.microsoft.com/sharepoint/v3">&lt;div title="_schemaversion" id="_3"&gt;
  &lt;div title="_view"&gt;
    &lt;span title="_columns"&gt;1&lt;/span&gt;
    &lt;span title="_linkstyle"&gt;&lt;/span&gt;
    &lt;span title="_groupstyle"&gt;&lt;/span&gt;
  &lt;/div&gt;
&lt;/div&gt;</SummaryLinks>
    <PublishingExpirationDate xmlns="http://schemas.microsoft.com/sharepoint/v3" xsi:nil="true"/>
    <Ingen_x0020_besked_x0020_ved_x0020_arkivering xmlns="fc0fdba4-151c-4e55-9dcc-4c0be9bb72c9">true</Ingen_x0020_besked_x0020_ved_x0020_arkivering>
    <NetSkabelonValue xmlns="fc0fdba4-151c-4e55-9dcc-4c0be9bb72c9" xsi:nil="true"/>
    <PermalinkID xmlns="fc0fdba4-151c-4e55-9dcc-4c0be9bb72c9">5c6c6ab5-a481-4b9f-b4e0-8b41a3f84bb5</PermalinkID>
    <Bevillingsgivere xmlns="fc0fdba4-151c-4e55-9dcc-4c0be9bb72c9" xsi:nil="true"/>
    <PublishingContactPicture xmlns="http://schemas.microsoft.com/sharepoint/v3">
      <Url xsi:nil="true"/>
      <Description xsi:nil="true"/>
    </PublishingContactPicture>
    <Informationsserie xmlns="5aa14257-579e-4a1f-bbbb-3c8dd7393476" xsi:nil="true"/>
    <IsHiddenFromRollup xmlns="fc0fdba4-151c-4e55-9dcc-4c0be9bb72c9">0</IsHiddenFromRollup>
    <PublishingStartDate xmlns="http://schemas.microsoft.com/sharepoint/v3" xsi:nil="true"/>
    <WebInfoSubjects xmlns="fc0fdba4-151c-4e55-9dcc-4c0be9bb72c9" xsi:nil="true"/>
    <Kontaktpersoner xmlns="5aa14257-579e-4a1f-bbbb-3c8dd7393476">
      <UserInfo>
        <DisplayName/>
        <AccountId xsi:nil="true"/>
        <AccountType/>
      </UserInfo>
    </Kontaktpersoner>
    <DynamicPublishingContent9 xmlns="http://schemas.microsoft.com/sharepoint/v3" xsi:nil="true"/>
    <DynamicPublishingContent10 xmlns="http://schemas.microsoft.com/sharepoint/v3" xsi:nil="true"/>
    <FinanceYear xmlns="fc0fdba4-151c-4e55-9dcc-4c0be9bb72c9" xsi:nil="true"/>
    <Afrapportering xmlns="fc0fdba4-151c-4e55-9dcc-4c0be9bb72c9">759;#Effektiv formidling til landmanden af økonomiske resultater og potentialer</Afrapportering>
    <PublishingContact xmlns="http://schemas.microsoft.com/sharepoint/v3">
      <UserInfo>
        <DisplayName/>
        <AccountId xsi:nil="true"/>
        <AccountType/>
      </UserInfo>
    </PublishingContact>
    <PublishingContactName xmlns="http://schemas.microsoft.com/sharepoint/v3" xsi:nil="true"/>
    <Noegleord xmlns="5aa14257-579e-4a1f-bbbb-3c8dd7393476" xsi:nil="true"/>
    <Afsender xmlns="fc0fdba4-151c-4e55-9dcc-4c0be9bb72c9">2</Afsender>
    <Arkiveringsdato xmlns="fc0fdba4-151c-4e55-9dcc-4c0be9bb72c9">2099-12-31T23:00:00+00:00</Arkiveringsdato>
    <HideInRollups xmlns="fc0fdba4-151c-4e55-9dcc-4c0be9bb72c9">false</HideInRollups>
    <HitCount xmlns="fc0fdba4-151c-4e55-9dcc-4c0be9bb72c9">0</HitCount>
    <DynamicPublishingContent8 xmlns="http://schemas.microsoft.com/sharepoint/v3" xsi:nil="true"/>
    <TaxCatchAll xmlns="303eeafb-7dff-46db-9396-e9c651f530ea"/>
    <Comments xmlns="http://schemas.microsoft.com/sharepoint/v3">Model baseret på notat og andre studier.
</Comments>
    <Nummer xmlns="5aa14257-579e-4a1f-bbbb-3c8dd739347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Landbrugsinfo Binær Fil" ma:contentTypeID="0x010100C568DB52D9D0A14D9B2FDCC96666E9F2007948130EC3DB064584E219954237AF3900242457EFB8B24247815D688C526CD44D00C26A9DBCB02B5C4DA1F017B836C045C00060750ADE2E6249BABB5C6118FC133DE800AF2E6DC7107240CAAE62CB7A7C0C3100002E9F973A8E78CB44B5A02CB197182948" ma:contentTypeVersion="97" ma:contentTypeDescription="Contenttype til binære filer der bliver publiceret på Landbrugsinfo" ma:contentTypeScope="" ma:versionID="7da9c7ee2ddafd5f456dad06100016c6">
  <xsd:schema xmlns:xsd="http://www.w3.org/2001/XMLSchema" xmlns:xs="http://www.w3.org/2001/XMLSchema" xmlns:p="http://schemas.microsoft.com/office/2006/metadata/properties" xmlns:ns1="http://schemas.microsoft.com/sharepoint/v3" xmlns:ns2="fc0fdba4-151c-4e55-9dcc-4c0be9bb72c9" xmlns:ns3="5aa14257-579e-4a1f-bbbb-3c8dd7393476" xmlns:ns4="303eeafb-7dff-46db-9396-e9c651f530ea" targetNamespace="http://schemas.microsoft.com/office/2006/metadata/properties" ma:root="true" ma:fieldsID="952239cffc6462d5667cf3466d329cb6" ns1:_="" ns2:_="" ns3:_="" ns4:_="">
    <xsd:import namespace="http://schemas.microsoft.com/sharepoint/v3"/>
    <xsd:import namespace="fc0fdba4-151c-4e55-9dcc-4c0be9bb72c9"/>
    <xsd:import namespace="5aa14257-579e-4a1f-bbbb-3c8dd7393476"/>
    <xsd:import namespace="303eeafb-7dff-46db-9396-e9c651f530ea"/>
    <xsd:element name="properties">
      <xsd:complexType>
        <xsd:sequence>
          <xsd:element name="documentManagement">
            <xsd:complexType>
              <xsd:all>
                <xsd:element ref="ns1:Comments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1:PublishingRollupImage" minOccurs="0"/>
                <xsd:element ref="ns1:Audience" minOccurs="0"/>
                <xsd:element ref="ns1:PublishingPageImage" minOccurs="0"/>
                <xsd:element ref="ns1:PublishingPageContent" minOccurs="0"/>
                <xsd:element ref="ns1:SummaryLinks" minOccurs="0"/>
                <xsd:element ref="ns1:ArticleByLine" minOccurs="0"/>
                <xsd:element ref="ns1:ArticleStartDate" minOccurs="0"/>
                <xsd:element ref="ns1:PublishingImageCaption" minOccurs="0"/>
                <xsd:element ref="ns1:HeaderStyleDefinitions" minOccurs="0"/>
                <xsd:element ref="ns2:Ansvarligafdeling" minOccurs="0"/>
                <xsd:element ref="ns3:Forfattere" minOccurs="0"/>
                <xsd:element ref="ns2:Rettighedsgruppe"/>
                <xsd:element ref="ns3:Listekode" minOccurs="0"/>
                <xsd:element ref="ns3:Nummer" minOccurs="0"/>
                <xsd:element ref="ns3:Noegleord" minOccurs="0"/>
                <xsd:element ref="ns3:Informationsserie" minOccurs="0"/>
                <xsd:element ref="ns3:Bekraeftelsesdato" minOccurs="0"/>
                <xsd:element ref="ns3:Revisionsdato" minOccurs="0"/>
                <xsd:element ref="ns2:Afsender" minOccurs="0"/>
                <xsd:element ref="ns2:Arkiveringsdato"/>
                <xsd:element ref="ns2:Ingen_x0020_besked_x0020_ved_x0020_arkivering" minOccurs="0"/>
                <xsd:element ref="ns2:HideInRollups" minOccurs="0"/>
                <xsd:element ref="ns2:IsHiddenFromRollup" minOccurs="0"/>
                <xsd:element ref="ns1:DynamicPublishingContent0" minOccurs="0"/>
                <xsd:element ref="ns1:DynamicPublishingContent1" minOccurs="0"/>
                <xsd:element ref="ns1:DynamicPublishingContent2" minOccurs="0"/>
                <xsd:element ref="ns1:DynamicPublishingContent3" minOccurs="0"/>
                <xsd:element ref="ns1:DynamicPublishingContent4" minOccurs="0"/>
                <xsd:element ref="ns1:DynamicPublishingContent5" minOccurs="0"/>
                <xsd:element ref="ns3:Sorteringsorden" minOccurs="0"/>
                <xsd:element ref="ns2:EnclosureFor" minOccurs="0"/>
                <xsd:element ref="ns2:GammelURL" minOccurs="0"/>
                <xsd:element ref="ns2:NetSkabelonValue" minOccurs="0"/>
                <xsd:element ref="ns2:Projekter" minOccurs="0"/>
                <xsd:element ref="ns2:WebInfoSubjects" minOccurs="0"/>
                <xsd:element ref="ns2:HitCount" minOccurs="0"/>
                <xsd:element ref="ns2:PermalinkID" minOccurs="0"/>
                <xsd:element ref="ns2:WebInfoMultiSelect" minOccurs="0"/>
                <xsd:element ref="ns4:_dlc_DocId" minOccurs="0"/>
                <xsd:element ref="ns4:_dlc_DocIdUrl" minOccurs="0"/>
                <xsd:element ref="ns4:_dlc_DocIdPersistId" minOccurs="0"/>
                <xsd:element ref="ns1:DynamicPublishingContent6" minOccurs="0"/>
                <xsd:element ref="ns1:DynamicPublishingContent7" minOccurs="0"/>
                <xsd:element ref="ns1:DynamicPublishingContent8" minOccurs="0"/>
                <xsd:element ref="ns1:DynamicPublishingContent9" minOccurs="0"/>
                <xsd:element ref="ns1:DynamicPublishingContent10" minOccurs="0"/>
                <xsd:element ref="ns1:DynamicPublishingContent11" minOccurs="0"/>
                <xsd:element ref="ns1:DynamicPublishingContent12" minOccurs="0"/>
                <xsd:element ref="ns1:DynamicPublishingContent13" minOccurs="0"/>
                <xsd:element ref="ns1:DynamicPublishingContent14" minOccurs="0"/>
                <xsd:element ref="ns2:TaksonomiTaxHTField0" minOccurs="0"/>
                <xsd:element ref="ns4:TaxCatchAll" minOccurs="0"/>
                <xsd:element ref="ns4:TaxCatchAllLabel" minOccurs="0"/>
                <xsd:element ref="ns2:Bevillingsgivere" minOccurs="0"/>
                <xsd:element ref="ns2:FinanceYear" minOccurs="0"/>
                <xsd:element ref="ns2:WebInfoLawCodes" minOccurs="0"/>
                <xsd:element ref="ns2:Afrapportering" minOccurs="0"/>
                <xsd:element ref="ns3:Kontaktpersoner" minOccurs="0"/>
                <xsd:element ref="ns3:Skribenter" minOccurs="0"/>
                <xsd:element ref="ns2:Projec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8" ma:displayName="Beskrivelse" ma:internalName="Comments">
      <xsd:simpleType>
        <xsd:restriction base="dms:Note">
          <xsd:maxLength value="255"/>
        </xsd:restriction>
      </xsd:simpleType>
    </xsd:element>
    <xsd:element name="PublishingStartDate" ma:index="9" nillable="true" ma:displayName="Startdato for planlægning" ma:internalName="PublishingStartDate">
      <xsd:simpleType>
        <xsd:restriction base="dms:Unknown"/>
      </xsd:simpleType>
    </xsd:element>
    <xsd:element name="PublishingExpirationDate" ma:index="10" nillable="true" ma:displayName="Slutdato for planlægning" ma:internalName="PublishingExpirationDate">
      <xsd:simpleType>
        <xsd:restriction base="dms:Unknown"/>
      </xsd:simpleType>
    </xsd:element>
    <xsd:element name="PublishingContact" ma:index="11" nillable="true" ma:displayName="Kontaktperson" ma:list="UserInfo" ma:internalName="PublishingContac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2" nillable="true" ma:displayName="E-mail-adresse på kontaktperson" ma:internalName="PublishingContactEmail">
      <xsd:simpleType>
        <xsd:restriction base="dms:Text">
          <xsd:maxLength value="255"/>
        </xsd:restriction>
      </xsd:simpleType>
    </xsd:element>
    <xsd:element name="PublishingContactName" ma:index="13" nillable="true" ma:displayName="Navn på kontaktperson" ma:internalName="PublishingContactName">
      <xsd:simpleType>
        <xsd:restriction base="dms:Text">
          <xsd:maxLength value="255"/>
        </xsd:restriction>
      </xsd:simpleType>
    </xsd:element>
    <xsd:element name="PublishingContactPicture" ma:index="14" nillable="true" ma:displayName="Billede af kontaktperson" ma:format="Image" ma:internalName="PublishingContactPictur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PageLayout" ma:index="15" nillable="true" ma:displayName="Sidelayout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16" nillable="true" ma:displayName="Variationsgruppe-id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17" nillable="true" ma:displayName="Relationshyperlink for variation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8" nillable="true" ma:displayName="Opløftningsbillede" ma:internalName="PublishingRollupImage">
      <xsd:simpleType>
        <xsd:restriction base="dms:Unknown"/>
      </xsd:simpleType>
    </xsd:element>
    <xsd:element name="Audience" ma:index="19" nillable="true" ma:displayName="Målgrupper" ma:description="" ma:internalName="Audience">
      <xsd:simpleType>
        <xsd:restriction base="dms:Unknown"/>
      </xsd:simpleType>
    </xsd:element>
    <xsd:element name="PublishingPageImage" ma:index="20" nillable="true" ma:displayName="Sidebillede" ma:internalName="PublishingPageImage">
      <xsd:simpleType>
        <xsd:restriction base="dms:Unknown"/>
      </xsd:simpleType>
    </xsd:element>
    <xsd:element name="PublishingPageContent" ma:index="21" nillable="true" ma:displayName="Sideindhold" ma:internalName="PublishingPageContent">
      <xsd:simpleType>
        <xsd:restriction base="dms:Unknown"/>
      </xsd:simpleType>
    </xsd:element>
    <xsd:element name="SummaryLinks" ma:index="22" nillable="true" ma:displayName="Oversigtshyperlinks" ma:internalName="SummaryLinks">
      <xsd:simpleType>
        <xsd:restriction base="dms:Unknown"/>
      </xsd:simpleType>
    </xsd:element>
    <xsd:element name="ArticleByLine" ma:index="23" nillable="true" ma:displayName="Forfatterlinje" ma:internalName="ArticleByLine">
      <xsd:simpleType>
        <xsd:restriction base="dms:Text">
          <xsd:maxLength value="255"/>
        </xsd:restriction>
      </xsd:simpleType>
    </xsd:element>
    <xsd:element name="ArticleStartDate" ma:index="24" nillable="true" ma:displayName="Artikeldato" ma:format="DateOnly" ma:internalName="ArticleStartDate">
      <xsd:simpleType>
        <xsd:restriction base="dms:DateTime"/>
      </xsd:simpleType>
    </xsd:element>
    <xsd:element name="PublishingImageCaption" ma:index="25" nillable="true" ma:displayName="Billedtekst" ma:internalName="PublishingImageCaption">
      <xsd:simpleType>
        <xsd:restriction base="dms:Unknown"/>
      </xsd:simpleType>
    </xsd:element>
    <xsd:element name="HeaderStyleDefinitions" ma:index="26" nillable="true" ma:displayName="Typografidefinitioner" ma:internalName="HeaderStyleDefinitions">
      <xsd:simpleType>
        <xsd:restriction base="dms:Unknown"/>
      </xsd:simpleType>
    </xsd:element>
    <xsd:element name="DynamicPublishingContent0" ma:index="41" nillable="true" ma:displayName="Dynamisk sideindhold (1)" ma:hidden="true" ma:internalName="DynamicPublishingContent0">
      <xsd:simpleType>
        <xsd:restriction base="dms:Unknown"/>
      </xsd:simpleType>
    </xsd:element>
    <xsd:element name="DynamicPublishingContent1" ma:index="42" nillable="true" ma:displayName="Dynamisk sideindhold (2)" ma:hidden="true" ma:internalName="DynamicPublishingContent1">
      <xsd:simpleType>
        <xsd:restriction base="dms:Unknown"/>
      </xsd:simpleType>
    </xsd:element>
    <xsd:element name="DynamicPublishingContent2" ma:index="43" nillable="true" ma:displayName="Dynamisk sideindhold (3)" ma:hidden="true" ma:internalName="DynamicPublishingContent2">
      <xsd:simpleType>
        <xsd:restriction base="dms:Unknown"/>
      </xsd:simpleType>
    </xsd:element>
    <xsd:element name="DynamicPublishingContent3" ma:index="44" nillable="true" ma:displayName="Dynamisk sideindhold (4)" ma:hidden="true" ma:internalName="DynamicPublishingContent3">
      <xsd:simpleType>
        <xsd:restriction base="dms:Unknown"/>
      </xsd:simpleType>
    </xsd:element>
    <xsd:element name="DynamicPublishingContent4" ma:index="45" nillable="true" ma:displayName="Dynamisk sideindhold (5)" ma:hidden="true" ma:internalName="DynamicPublishingContent4">
      <xsd:simpleType>
        <xsd:restriction base="dms:Unknown"/>
      </xsd:simpleType>
    </xsd:element>
    <xsd:element name="DynamicPublishingContent5" ma:index="46" nillable="true" ma:displayName="Dynamisk sideindhold (6)" ma:hidden="true" ma:internalName="DynamicPublishingContent5">
      <xsd:simpleType>
        <xsd:restriction base="dms:Unknown"/>
      </xsd:simpleType>
    </xsd:element>
    <xsd:element name="DynamicPublishingContent6" ma:index="59" nillable="true" ma:displayName="Dynamisk sideindhold (7)" ma:hidden="true" ma:internalName="DynamicPublishingContent6">
      <xsd:simpleType>
        <xsd:restriction base="dms:Unknown"/>
      </xsd:simpleType>
    </xsd:element>
    <xsd:element name="DynamicPublishingContent7" ma:index="60" nillable="true" ma:displayName="Dynamisk sideindhold (8)" ma:hidden="true" ma:internalName="DynamicPublishingContent7">
      <xsd:simpleType>
        <xsd:restriction base="dms:Unknown"/>
      </xsd:simpleType>
    </xsd:element>
    <xsd:element name="DynamicPublishingContent8" ma:index="61" nillable="true" ma:displayName="Dynamisk sideindhold (9)" ma:hidden="true" ma:internalName="DynamicPublishingContent8">
      <xsd:simpleType>
        <xsd:restriction base="dms:Unknown"/>
      </xsd:simpleType>
    </xsd:element>
    <xsd:element name="DynamicPublishingContent9" ma:index="62" nillable="true" ma:displayName="Dynamisk sideindhold (10)" ma:hidden="true" ma:internalName="DynamicPublishingContent9">
      <xsd:simpleType>
        <xsd:restriction base="dms:Unknown"/>
      </xsd:simpleType>
    </xsd:element>
    <xsd:element name="DynamicPublishingContent10" ma:index="63" nillable="true" ma:displayName="Dynamisk sideindhold (11)" ma:hidden="true" ma:internalName="DynamicPublishingContent10">
      <xsd:simpleType>
        <xsd:restriction base="dms:Unknown"/>
      </xsd:simpleType>
    </xsd:element>
    <xsd:element name="DynamicPublishingContent11" ma:index="64" nillable="true" ma:displayName="Dynamisk sideindhold (12)" ma:hidden="true" ma:internalName="DynamicPublishingContent11">
      <xsd:simpleType>
        <xsd:restriction base="dms:Unknown"/>
      </xsd:simpleType>
    </xsd:element>
    <xsd:element name="DynamicPublishingContent12" ma:index="65" nillable="true" ma:displayName="Dynamisk sideindhold (13)" ma:hidden="true" ma:internalName="DynamicPublishingContent12">
      <xsd:simpleType>
        <xsd:restriction base="dms:Unknown"/>
      </xsd:simpleType>
    </xsd:element>
    <xsd:element name="DynamicPublishingContent13" ma:index="66" nillable="true" ma:displayName="Dynamisk sideindhold (14)" ma:hidden="true" ma:internalName="DynamicPublishingContent13">
      <xsd:simpleType>
        <xsd:restriction base="dms:Unknown"/>
      </xsd:simpleType>
    </xsd:element>
    <xsd:element name="DynamicPublishingContent14" ma:index="67" nillable="true" ma:displayName="Dynamisk sideindhold (15)" ma:hidden="true" ma:internalName="DynamicPublishingContent14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0fdba4-151c-4e55-9dcc-4c0be9bb72c9" elementFormDefault="qualified">
    <xsd:import namespace="http://schemas.microsoft.com/office/2006/documentManagement/types"/>
    <xsd:import namespace="http://schemas.microsoft.com/office/infopath/2007/PartnerControls"/>
    <xsd:element name="Ansvarligafdeling" ma:index="27" nillable="true" ma:displayName="Ansvarlig afdeling" ma:list="{2b5a13a3-256c-433f-bc8b-bde4d05df095}" ma:internalName="Ansvarligafdeling" ma:showField="Title" ma:web="303eeafb-7dff-46db-9396-e9c651f530ea">
      <xsd:simpleType>
        <xsd:restriction base="dms:Lookup"/>
      </xsd:simpleType>
    </xsd:element>
    <xsd:element name="Rettighedsgruppe" ma:index="29" ma:displayName="Rettighedsgruppe" ma:default="2;#Basis" ma:list="{cd861654-9942-42cc-b4e8-22e2eb33fafe}" ma:internalName="Rettighedsgruppe" ma:readOnly="false" ma:showField="Title" ma:web="303eeafb-7dff-46db-9396-e9c651f530ea">
      <xsd:simpleType>
        <xsd:restriction base="dms:Lookup"/>
      </xsd:simpleType>
    </xsd:element>
    <xsd:element name="Afsender" ma:index="36" nillable="true" ma:displayName="Afsender" ma:default="2;#Landscentret" ma:list="{b497b606-9a6f-4593-a3de-acb9bcbea154}" ma:internalName="Afsender" ma:showField="LinkTitleNoMenu" ma:web="303eeafb-7dff-46db-9396-e9c651f530ea">
      <xsd:simpleType>
        <xsd:restriction base="dms:Lookup"/>
      </xsd:simpleType>
    </xsd:element>
    <xsd:element name="Arkiveringsdato" ma:index="37" ma:displayName="Arkiveringsdato" ma:format="DateOnly" ma:internalName="Arkiveringsdato">
      <xsd:simpleType>
        <xsd:restriction base="dms:DateTime"/>
      </xsd:simpleType>
    </xsd:element>
    <xsd:element name="Ingen_x0020_besked_x0020_ved_x0020_arkivering" ma:index="38" nillable="true" ma:displayName="Ingen besked ved arkivering" ma:default="0" ma:description="Klik her, for ikke at modtage en besked, når dokumentet når sin udløbsdato" ma:internalName="Ingen_x0020_besked_x0020_ved_x0020_arkivering">
      <xsd:simpleType>
        <xsd:restriction base="dms:Boolean"/>
      </xsd:simpleType>
    </xsd:element>
    <xsd:element name="HideInRollups" ma:index="39" nillable="true" ma:displayName="Skjul i artikellister" ma:default="0" ma:description="Klik her for at skjule siden i artikellister" ma:internalName="HideInRollups">
      <xsd:simpleType>
        <xsd:restriction base="dms:Boolean"/>
      </xsd:simpleType>
    </xsd:element>
    <xsd:element name="IsHiddenFromRollup" ma:index="40" nillable="true" ma:displayName="Skjult i artikellister (system)" ma:decimals="0" ma:default="0" ma:description="Understøtter infrastrukturen" ma:internalName="IsHiddenFromRollup">
      <xsd:simpleType>
        <xsd:restriction base="dms:Number"/>
      </xsd:simpleType>
    </xsd:element>
    <xsd:element name="EnclosureFor" ma:index="48" nillable="true" ma:displayName="Bilag til" ma:description="Peger på bilagets moderdokument" ma:internalName="EnclosureFo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GammelURL" ma:index="49" nillable="true" ma:displayName="Gammel URL" ma:description="Tidligere placering på landbrugsinfo" ma:internalName="GammelURL">
      <xsd:simpleType>
        <xsd:restriction base="dms:Text">
          <xsd:maxLength value="255"/>
        </xsd:restriction>
      </xsd:simpleType>
    </xsd:element>
    <xsd:element name="NetSkabelonValue" ma:index="50" nillable="true" ma:displayName="NetSkabelon værdier" ma:internalName="NetSkabelonValue">
      <xsd:simpleType>
        <xsd:restriction base="dms:Text">
          <xsd:maxLength value="255"/>
        </xsd:restriction>
      </xsd:simpleType>
    </xsd:element>
    <xsd:element name="Projekter" ma:index="51" nillable="true" ma:displayName="Projekter" ma:list="{ecf07d35-95fb-4bda-ad72-e46544058ec2}" ma:internalName="Projekter" ma:showField="LinkTitleNoMenu" ma:web="303eeafb-7dff-46db-9396-e9c651f530ea">
      <xsd:simpleType>
        <xsd:restriction base="dms:Unknown"/>
      </xsd:simpleType>
    </xsd:element>
    <xsd:element name="WebInfoSubjects" ma:index="52" nillable="true" ma:displayName="Emneord" ma:description="Knyt emneord til din artikel. Benyttes primært til nyhedsbreve." ma:list="{c1fcffa3-db61-496d-89f0-dea25d970c75}" ma:internalName="WebInfoSubjects" ma:showField="LinkTitleNoMenu" ma:web="303eeafb-7dff-46db-9396-e9c651f530ea">
      <xsd:simpleType>
        <xsd:restriction base="dms:Unknown"/>
      </xsd:simpleType>
    </xsd:element>
    <xsd:element name="HitCount" ma:index="53" nillable="true" ma:displayName="HitCount (system)" ma:decimals="0" ma:default="0" ma:description="Antal gange et dokument er set af en bruger" ma:internalName="HitCount" ma:readOnly="false">
      <xsd:simpleType>
        <xsd:restriction base="dms:Number"/>
      </xsd:simpleType>
    </xsd:element>
    <xsd:element name="PermalinkID" ma:index="54" nillable="true" ma:displayName="Permalink ID" ma:description="Unik ID for artiklen som kan benyttes til permalink" ma:hidden="true" ma:internalName="PermalinkID" ma:readOnly="false">
      <xsd:simpleType>
        <xsd:restriction base="dms:Text">
          <xsd:maxLength value="255"/>
        </xsd:restriction>
      </xsd:simpleType>
    </xsd:element>
    <xsd:element name="WebInfoMultiSelect" ma:index="55" nillable="true" ma:displayName="Tilvalg" ma:description="Mulighed for et antal tilvalg gemt i et samlet felt." ma:internalName="WebInfoMultiSelect">
      <xsd:simpleType>
        <xsd:restriction base="dms:Unknown"/>
      </xsd:simpleType>
    </xsd:element>
    <xsd:element name="TaksonomiTaxHTField0" ma:index="68" nillable="true" ma:taxonomy="true" ma:internalName="TaksonomiTaxHTField0" ma:taxonomyFieldName="Taksonomi" ma:displayName="Taksonomi" ma:fieldId="{6e43b4ee-656e-4e6d-875c-6c0fe73b7faf}" ma:taxonomyMulti="true" ma:sspId="2476898c-5e7e-458a-8d26-e528e2e6d5ce" ma:termSetId="65f14c63-6b42-47e9-9739-973b2f9a435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evillingsgivere" ma:index="72" nillable="true" ma:displayName="Bevillingsgivere" ma:list="9ccd692b-b01f-4300-9d4e-b4fb85c2c995" ma:internalName="Bevillingsgivere" ma:showField="LinkTitleNoMenu" ma:web="303eeafb-7dff-46db-9396-e9c651f530ea">
      <xsd:simpleType>
        <xsd:restriction base="dms:Unknown"/>
      </xsd:simpleType>
    </xsd:element>
    <xsd:element name="FinanceYear" ma:index="73" nillable="true" ma:displayName="Bevillingsår" ma:decimals="0" ma:internalName="FinanceYear">
      <xsd:simpleType>
        <xsd:restriction base="dms:Number"/>
      </xsd:simpleType>
    </xsd:element>
    <xsd:element name="WebInfoLawCodes" ma:index="74" nillable="true" ma:displayName="Lovkoder" ma:description="Knyt lovkoder til din artikel." ma:list="{908f6eb6-a66b-478a-a99e-d2541dc092be}" ma:internalName="WebInfoLawCodes" ma:showField="LinkTitleNoMenu" ma:web="303eeafb-7dff-46db-9396-e9c651f530ea">
      <xsd:simpleType>
        <xsd:restriction base="dms:Unknown"/>
      </xsd:simpleType>
    </xsd:element>
    <xsd:element name="Afrapportering" ma:index="75" nillable="true" ma:displayName="Afrapportering" ma:list="{126d356a-4f5c-4bbb-91a6-e07af1934e19}" ma:internalName="Afrapportering" ma:showField="LinkTitleNoMenu" ma:web="303eeafb-7dff-46db-9396-e9c651f530ea">
      <xsd:simpleType>
        <xsd:restriction base="dms:Unknown"/>
      </xsd:simpleType>
    </xsd:element>
    <xsd:element name="ProjectID" ma:index="78" nillable="true" ma:displayName="ProjectID (system)" ma:internalName="Project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a14257-579e-4a1f-bbbb-3c8dd7393476" elementFormDefault="qualified">
    <xsd:import namespace="http://schemas.microsoft.com/office/2006/documentManagement/types"/>
    <xsd:import namespace="http://schemas.microsoft.com/office/infopath/2007/PartnerControls"/>
    <xsd:element name="Forfattere" ma:index="28" nillable="true" ma:displayName="Forfattere" ma:list="UserInfo" ma:SharePointGroup="0" ma:internalName="Forfattere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istekode" ma:index="30" nillable="true" ma:displayName="Listekode" ma:internalName="Listekode">
      <xsd:simpleType>
        <xsd:restriction base="dms:Text">
          <xsd:maxLength value="255"/>
        </xsd:restriction>
      </xsd:simpleType>
    </xsd:element>
    <xsd:element name="Nummer" ma:index="31" nillable="true" ma:displayName="Nummer" ma:internalName="Nummer">
      <xsd:simpleType>
        <xsd:restriction base="dms:Text">
          <xsd:maxLength value="255"/>
        </xsd:restriction>
      </xsd:simpleType>
    </xsd:element>
    <xsd:element name="Noegleord" ma:index="32" nillable="true" ma:displayName="Nøgleord" ma:internalName="Noegleord">
      <xsd:simpleType>
        <xsd:restriction base="dms:Text">
          <xsd:maxLength value="255"/>
        </xsd:restriction>
      </xsd:simpleType>
    </xsd:element>
    <xsd:element name="Informationsserie" ma:index="33" nillable="true" ma:displayName="Historisk informationsserie" ma:internalName="Informationsserie">
      <xsd:simpleType>
        <xsd:restriction base="dms:Text">
          <xsd:maxLength value="255"/>
        </xsd:restriction>
      </xsd:simpleType>
    </xsd:element>
    <xsd:element name="Bekraeftelsesdato" ma:index="34" nillable="true" ma:displayName="Bekræftelsesdato" ma:format="DateTime" ma:internalName="Bekraeftelsesdato">
      <xsd:simpleType>
        <xsd:restriction base="dms:DateTime"/>
      </xsd:simpleType>
    </xsd:element>
    <xsd:element name="Revisionsdato" ma:index="35" nillable="true" ma:displayName="Revisionsdato" ma:format="DateTime" ma:internalName="Revisionsdato">
      <xsd:simpleType>
        <xsd:restriction base="dms:DateTime"/>
      </xsd:simpleType>
    </xsd:element>
    <xsd:element name="Sorteringsorden" ma:index="47" nillable="true" ma:displayName="Sorteringsorden" ma:decimals="0" ma:internalName="Sorteringsorden">
      <xsd:simpleType>
        <xsd:restriction base="dms:Number"/>
      </xsd:simpleType>
    </xsd:element>
    <xsd:element name="Kontaktpersoner" ma:index="76" nillable="true" ma:displayName="Kontaktpersoner" ma:list="UserInfo" ma:SharePointGroup="0" ma:internalName="Kontaktperson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kribenter" ma:index="77" nillable="true" ma:displayName="Skribenter" ma:list="UserInfo" ma:SharePointGroup="0" ma:internalName="Skribent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eeafb-7dff-46db-9396-e9c651f530ea" elementFormDefault="qualified">
    <xsd:import namespace="http://schemas.microsoft.com/office/2006/documentManagement/types"/>
    <xsd:import namespace="http://schemas.microsoft.com/office/infopath/2007/PartnerControls"/>
    <xsd:element name="_dlc_DocId" ma:index="56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57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69" nillable="true" ma:displayName="Taxonomy Catch All Column" ma:description="" ma:hidden="true" ma:list="{00a11604-cdb1-438d-8b4c-a208f6918db7}" ma:internalName="TaxCatchAll" ma:showField="CatchAllData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0" nillable="true" ma:displayName="Taxonomy Catch All Column1" ma:description="" ma:hidden="true" ma:list="{00a11604-cdb1-438d-8b4c-a208f6918db7}" ma:internalName="TaxCatchAllLabel" ma:readOnly="true" ma:showField="CatchAllDataLabel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Set Item Permission, based on rettighedsgruppe</Name>
    <Synchronization>Asynchronous</Synchronization>
    <Type>10001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Set Item Permission, based on rettighedsgruppe</Name>
    <Synchronization>Asynchronous</Synchronization>
    <Type>10002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WebInfo Content Page Event</Name>
    <Synchronization>Synchronous</Synchronization>
    <Type>1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Synchronous</Synchronization>
    <Type>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Asynchronous</Synchronization>
    <Type>10002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</spe:Receivers>
</file>

<file path=customXml/itemProps1.xml><?xml version="1.0" encoding="utf-8"?>
<ds:datastoreItem xmlns:ds="http://schemas.openxmlformats.org/officeDocument/2006/customXml" ds:itemID="{B251231C-2751-4AB4-BFD3-2F16EE0C2127}"/>
</file>

<file path=customXml/itemProps2.xml><?xml version="1.0" encoding="utf-8"?>
<ds:datastoreItem xmlns:ds="http://schemas.openxmlformats.org/officeDocument/2006/customXml" ds:itemID="{DD1173AF-3C9C-4C50-8E87-9394EAD832B3}"/>
</file>

<file path=customXml/itemProps3.xml><?xml version="1.0" encoding="utf-8"?>
<ds:datastoreItem xmlns:ds="http://schemas.openxmlformats.org/officeDocument/2006/customXml" ds:itemID="{F5F2D524-E9A5-4955-B9A0-1C9AD80831DB}"/>
</file>

<file path=customXml/itemProps4.xml><?xml version="1.0" encoding="utf-8"?>
<ds:datastoreItem xmlns:ds="http://schemas.openxmlformats.org/officeDocument/2006/customXml" ds:itemID="{D4AF6554-1BA0-451C-B61E-48EEA707780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16</vt:i4>
      </vt:variant>
    </vt:vector>
  </HeadingPairs>
  <TitlesOfParts>
    <vt:vector size="18" baseType="lpstr">
      <vt:lpstr>Arbejdstids grise</vt:lpstr>
      <vt:lpstr>Grafer</vt:lpstr>
      <vt:lpstr>Arbejdsløn</vt:lpstr>
      <vt:lpstr>Arbejdstidstabel_slagtesvin</vt:lpstr>
      <vt:lpstr>Arbejdstidstabel_smågrise</vt:lpstr>
      <vt:lpstr>Arbejdstidstabel_søer</vt:lpstr>
      <vt:lpstr>Dagsværk_1_person</vt:lpstr>
      <vt:lpstr>Foderdage_slagtesvin</vt:lpstr>
      <vt:lpstr>Foderdager_smågrise</vt:lpstr>
      <vt:lpstr>Navigation</vt:lpstr>
      <vt:lpstr>Oplysninger_produktion_slagtesvin</vt:lpstr>
      <vt:lpstr>Oplysninger_produktion_smågrise</vt:lpstr>
      <vt:lpstr>Oplysninger_produktion_søer</vt:lpstr>
      <vt:lpstr>Standardværdier</vt:lpstr>
      <vt:lpstr>Vaske_tid_pr._kvm_stiareal</vt:lpstr>
      <vt:lpstr>Vaske_tid_udleveringsrum_etc</vt:lpstr>
      <vt:lpstr>Årlig_produktions_oplysninger</vt:lpstr>
      <vt:lpstr>Årsværk</vt:lpstr>
    </vt:vector>
  </TitlesOfParts>
  <Company>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 3 Model for arbejdstid svin</dc:title>
  <dc:creator>Michael Groes Christiansen</dc:creator>
  <cp:lastModifiedBy>Birthe Stougaard Schøtt</cp:lastModifiedBy>
  <dcterms:created xsi:type="dcterms:W3CDTF">2014-02-05T08:22:54Z</dcterms:created>
  <dcterms:modified xsi:type="dcterms:W3CDTF">2018-12-19T12:34:36Z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0x010100C568DB52D9D0A14D9B2FDCC96666E9F2007948130EC3DB064584E219954237AF3900242457EFB8B24247815D688C526CD44D00C26A9DBCB02B5C4DA1F017B836C045C00060750ADE2E6249BABB5C6118FC133DE800AF2E6DC7107240CAAE62CB7A7C0C3100002E9F973A8E78CB44B5A02CB197182948</vt:lpwstr>
  </property>
  <property fmtid="{D5CDD505-2E9C-101B-9397-08002B2CF9AE}" pid="3" name="_dlc_DocIdItemGuid">
    <vt:lpwstr>6b698644-d819-454a-b2f1-2bce9c99354d</vt:lpwstr>
  </property>
  <property fmtid="{D5CDD505-2E9C-101B-9397-08002B2CF9AE}" pid="4" name="Taksonomi">
    <vt:lpwstr/>
  </property>
</Properties>
</file>